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14558378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09" i="1" l="1"/>
  <c r="N708" i="1"/>
  <c r="N707" i="1"/>
  <c r="N706" i="1"/>
  <c r="N705" i="1"/>
  <c r="N704" i="1"/>
  <c r="N703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680" i="1"/>
  <c r="N679" i="1"/>
  <c r="N678" i="1"/>
  <c r="N677" i="1"/>
  <c r="N676" i="1"/>
  <c r="N675" i="1"/>
  <c r="N674" i="1"/>
  <c r="N673" i="1"/>
  <c r="N672" i="1"/>
  <c r="N671" i="1"/>
  <c r="N670" i="1"/>
  <c r="N669" i="1"/>
  <c r="N668" i="1"/>
  <c r="N667" i="1"/>
  <c r="N666" i="1"/>
  <c r="N665" i="1"/>
  <c r="N664" i="1"/>
  <c r="N663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35" i="1"/>
  <c r="N634" i="1"/>
  <c r="N633" i="1"/>
  <c r="N632" i="1"/>
  <c r="N631" i="1"/>
  <c r="N630" i="1"/>
  <c r="N629" i="1"/>
  <c r="N628" i="1"/>
  <c r="N627" i="1"/>
  <c r="N626" i="1"/>
  <c r="N625" i="1"/>
  <c r="N624" i="1"/>
  <c r="N623" i="1"/>
  <c r="N622" i="1"/>
  <c r="N621" i="1"/>
  <c r="N620" i="1"/>
  <c r="N619" i="1"/>
  <c r="N618" i="1"/>
  <c r="N617" i="1"/>
  <c r="N616" i="1"/>
  <c r="N615" i="1"/>
  <c r="N614" i="1"/>
  <c r="N613" i="1"/>
  <c r="N612" i="1"/>
  <c r="N611" i="1"/>
  <c r="N610" i="1"/>
  <c r="N609" i="1"/>
  <c r="N608" i="1"/>
  <c r="N607" i="1"/>
  <c r="N606" i="1"/>
  <c r="N605" i="1"/>
  <c r="N604" i="1"/>
  <c r="N603" i="1"/>
  <c r="N602" i="1"/>
  <c r="N601" i="1"/>
  <c r="N600" i="1"/>
  <c r="N599" i="1"/>
  <c r="N598" i="1"/>
  <c r="N597" i="1"/>
  <c r="N596" i="1"/>
  <c r="N595" i="1"/>
  <c r="N594" i="1"/>
  <c r="N593" i="1"/>
  <c r="N592" i="1"/>
  <c r="N591" i="1"/>
  <c r="N590" i="1"/>
  <c r="N589" i="1"/>
  <c r="N588" i="1"/>
  <c r="N587" i="1"/>
  <c r="N586" i="1"/>
  <c r="N585" i="1"/>
  <c r="N584" i="1"/>
  <c r="N583" i="1"/>
  <c r="N582" i="1"/>
  <c r="N581" i="1"/>
  <c r="N580" i="1"/>
  <c r="N579" i="1"/>
  <c r="N578" i="1"/>
  <c r="N577" i="1"/>
  <c r="N576" i="1"/>
  <c r="N575" i="1"/>
  <c r="N574" i="1"/>
  <c r="N573" i="1"/>
  <c r="N572" i="1"/>
  <c r="N571" i="1"/>
  <c r="N570" i="1"/>
  <c r="N569" i="1"/>
  <c r="N568" i="1"/>
  <c r="N567" i="1"/>
  <c r="N566" i="1"/>
  <c r="N565" i="1"/>
  <c r="N564" i="1"/>
  <c r="N563" i="1"/>
  <c r="N562" i="1"/>
  <c r="N561" i="1"/>
  <c r="N560" i="1"/>
  <c r="N559" i="1"/>
  <c r="N558" i="1"/>
  <c r="N557" i="1"/>
  <c r="N556" i="1"/>
  <c r="N555" i="1"/>
  <c r="N554" i="1"/>
  <c r="N553" i="1"/>
  <c r="N552" i="1"/>
  <c r="N551" i="1"/>
  <c r="N550" i="1"/>
  <c r="N549" i="1"/>
  <c r="N548" i="1"/>
  <c r="N547" i="1"/>
  <c r="N546" i="1"/>
  <c r="N545" i="1"/>
  <c r="N544" i="1"/>
  <c r="N543" i="1"/>
  <c r="N542" i="1"/>
  <c r="N541" i="1"/>
  <c r="N540" i="1"/>
  <c r="N539" i="1"/>
  <c r="N538" i="1"/>
  <c r="N537" i="1"/>
  <c r="N536" i="1"/>
  <c r="N535" i="1"/>
  <c r="N534" i="1"/>
  <c r="N533" i="1"/>
  <c r="N532" i="1"/>
  <c r="N531" i="1"/>
  <c r="N530" i="1"/>
  <c r="N529" i="1"/>
  <c r="N528" i="1"/>
  <c r="N527" i="1"/>
  <c r="N526" i="1"/>
  <c r="N525" i="1"/>
  <c r="N524" i="1"/>
  <c r="N523" i="1"/>
  <c r="N522" i="1"/>
  <c r="N521" i="1"/>
  <c r="N520" i="1"/>
  <c r="N519" i="1"/>
  <c r="N518" i="1"/>
  <c r="N517" i="1"/>
  <c r="N516" i="1"/>
  <c r="N515" i="1"/>
  <c r="N514" i="1"/>
  <c r="N513" i="1"/>
  <c r="N512" i="1"/>
  <c r="N511" i="1"/>
  <c r="N510" i="1"/>
  <c r="N509" i="1"/>
  <c r="N508" i="1"/>
  <c r="N507" i="1"/>
  <c r="N506" i="1"/>
  <c r="N505" i="1"/>
  <c r="N504" i="1"/>
  <c r="N503" i="1"/>
  <c r="N502" i="1"/>
  <c r="N501" i="1"/>
  <c r="N500" i="1"/>
  <c r="N499" i="1"/>
  <c r="N498" i="1"/>
  <c r="N497" i="1"/>
  <c r="N496" i="1"/>
  <c r="N495" i="1"/>
  <c r="N494" i="1"/>
  <c r="N493" i="1"/>
  <c r="N492" i="1"/>
  <c r="N491" i="1"/>
  <c r="N490" i="1"/>
  <c r="N489" i="1"/>
  <c r="N488" i="1"/>
  <c r="N487" i="1"/>
  <c r="N486" i="1"/>
  <c r="N485" i="1"/>
  <c r="N484" i="1"/>
  <c r="N483" i="1"/>
  <c r="N482" i="1"/>
  <c r="N481" i="1"/>
  <c r="N480" i="1"/>
  <c r="N479" i="1"/>
  <c r="N478" i="1"/>
  <c r="N477" i="1"/>
  <c r="N476" i="1"/>
  <c r="N475" i="1"/>
  <c r="N474" i="1"/>
  <c r="N473" i="1"/>
  <c r="N472" i="1"/>
  <c r="N471" i="1"/>
  <c r="N470" i="1"/>
  <c r="N469" i="1"/>
  <c r="N468" i="1"/>
  <c r="N467" i="1"/>
  <c r="N466" i="1"/>
  <c r="N465" i="1"/>
  <c r="N464" i="1"/>
  <c r="N463" i="1"/>
  <c r="N462" i="1"/>
  <c r="N461" i="1"/>
  <c r="N460" i="1"/>
  <c r="N459" i="1"/>
  <c r="N458" i="1"/>
  <c r="N457" i="1"/>
  <c r="N456" i="1"/>
  <c r="N455" i="1"/>
  <c r="N454" i="1"/>
  <c r="N453" i="1"/>
  <c r="N452" i="1"/>
  <c r="N451" i="1"/>
  <c r="N450" i="1"/>
  <c r="N449" i="1"/>
  <c r="N448" i="1"/>
  <c r="N447" i="1"/>
  <c r="N446" i="1"/>
  <c r="N445" i="1"/>
  <c r="N444" i="1"/>
  <c r="N443" i="1"/>
  <c r="N442" i="1"/>
  <c r="N441" i="1"/>
  <c r="N440" i="1"/>
  <c r="N439" i="1"/>
  <c r="N438" i="1"/>
  <c r="N437" i="1"/>
  <c r="N436" i="1"/>
  <c r="N435" i="1"/>
  <c r="N434" i="1"/>
  <c r="N433" i="1"/>
  <c r="N432" i="1"/>
  <c r="N431" i="1"/>
  <c r="N430" i="1"/>
  <c r="N429" i="1"/>
  <c r="N428" i="1"/>
  <c r="N427" i="1"/>
  <c r="N426" i="1"/>
  <c r="N425" i="1"/>
  <c r="N424" i="1"/>
  <c r="N423" i="1"/>
  <c r="N422" i="1"/>
  <c r="N421" i="1"/>
  <c r="N420" i="1"/>
  <c r="N419" i="1"/>
  <c r="N418" i="1"/>
  <c r="N417" i="1"/>
  <c r="N416" i="1"/>
  <c r="N415" i="1"/>
  <c r="N414" i="1"/>
  <c r="N413" i="1"/>
  <c r="N412" i="1"/>
  <c r="N411" i="1"/>
  <c r="N410" i="1"/>
  <c r="N409" i="1"/>
  <c r="N408" i="1"/>
  <c r="N407" i="1"/>
  <c r="N406" i="1"/>
  <c r="N405" i="1"/>
  <c r="N404" i="1"/>
  <c r="N403" i="1"/>
  <c r="N402" i="1"/>
  <c r="N401" i="1"/>
  <c r="N400" i="1"/>
  <c r="N399" i="1"/>
  <c r="N398" i="1"/>
  <c r="N397" i="1"/>
  <c r="N396" i="1"/>
  <c r="N395" i="1"/>
  <c r="N394" i="1"/>
  <c r="N393" i="1"/>
  <c r="N392" i="1"/>
  <c r="N391" i="1"/>
  <c r="N390" i="1"/>
  <c r="N389" i="1"/>
  <c r="N388" i="1"/>
  <c r="N387" i="1"/>
  <c r="N386" i="1"/>
  <c r="N385" i="1"/>
  <c r="N384" i="1"/>
  <c r="N383" i="1"/>
  <c r="N382" i="1"/>
  <c r="N381" i="1"/>
  <c r="N380" i="1"/>
  <c r="N379" i="1"/>
  <c r="N378" i="1"/>
  <c r="N377" i="1"/>
  <c r="N376" i="1"/>
  <c r="N375" i="1"/>
  <c r="N374" i="1"/>
  <c r="N373" i="1"/>
  <c r="N372" i="1"/>
  <c r="N371" i="1"/>
  <c r="N370" i="1"/>
  <c r="N369" i="1"/>
  <c r="N368" i="1"/>
  <c r="N367" i="1"/>
  <c r="N366" i="1"/>
  <c r="N365" i="1"/>
  <c r="N364" i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</calcChain>
</file>

<file path=xl/sharedStrings.xml><?xml version="1.0" encoding="utf-8"?>
<sst xmlns="http://schemas.openxmlformats.org/spreadsheetml/2006/main" count="5574" uniqueCount="1979">
  <si>
    <t>LOCATION</t>
  </si>
  <si>
    <t>LOT #</t>
  </si>
  <si>
    <t>CATEGORY</t>
  </si>
  <si>
    <t>RETURN TYPE</t>
  </si>
  <si>
    <t># OF PALLETS</t>
  </si>
  <si>
    <t># OF CARTONS</t>
  </si>
  <si>
    <t>WEIGHT</t>
  </si>
  <si>
    <t>TOTAL ORIGINAL COST</t>
  </si>
  <si>
    <t>TOTAL ORIGINAL RETAIL</t>
  </si>
  <si>
    <t># OF UNITS</t>
  </si>
  <si>
    <t>TOTAL CLIENT COST</t>
  </si>
  <si>
    <t>TABLETOP GLASS TABLE LINENS</t>
  </si>
  <si>
    <t>STORE STOCK</t>
  </si>
  <si>
    <t>CLIENT COST</t>
  </si>
  <si>
    <t>ORIGINAL COST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</si>
  <si>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</si>
  <si>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</si>
  <si>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</si>
  <si>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</si>
  <si>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</si>
  <si>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</si>
  <si>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</si>
  <si>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</si>
  <si>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</si>
  <si>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</si>
  <si>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</si>
  <si>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</si>
  <si>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792977513026</t>
  </si>
  <si>
    <t>Uttermost Life Scenes 2-Pc. Abstract Wal Open Miscellaneous</t>
  </si>
  <si>
    <t>FRAMES &amp;DECOR</t>
  </si>
  <si>
    <t>UTTERMOST CO.</t>
  </si>
  <si>
    <t>IMPORTED</t>
  </si>
  <si>
    <t>CANVAS/PINE WOOD/ACRYLIC</t>
  </si>
  <si>
    <t>701587298711</t>
  </si>
  <si>
    <t>Wedgwood Wedgwood Dinnerware, Nantucket White</t>
  </si>
  <si>
    <t>WHITE</t>
  </si>
  <si>
    <t>4PLCSET16</t>
  </si>
  <si>
    <t>FORMAL CHINA</t>
  </si>
  <si>
    <t>WEDGWOOD/FISKARS LIVING US LLC</t>
  </si>
  <si>
    <t>BONE CHINA</t>
  </si>
  <si>
    <t>701587298810</t>
  </si>
  <si>
    <t>Wedgwood Intaglio 16-Pc. Dinnerware Set White</t>
  </si>
  <si>
    <t>615715412309</t>
  </si>
  <si>
    <t>Lorren Home Trends Lorren Home Trends 57 Piece Bo Gold-Tone ONE SIZE</t>
  </si>
  <si>
    <t>CHARLOTTE</t>
  </si>
  <si>
    <t>GOLD</t>
  </si>
  <si>
    <t>NO SIZE</t>
  </si>
  <si>
    <t>LORREN HOME TRENDS/LORENZO IMPORT</t>
  </si>
  <si>
    <t>701587328227</t>
  </si>
  <si>
    <t>CNSEUR SQR DEC SM &amp; TUMB</t>
  </si>
  <si>
    <t>NO COLOR</t>
  </si>
  <si>
    <t>SETS</t>
  </si>
  <si>
    <t>ST WWRD/WTRFD</t>
  </si>
  <si>
    <t>WATERFORD/FISKARS LIVING US LLC</t>
  </si>
  <si>
    <t>CRYSTAL</t>
  </si>
  <si>
    <t>615715411906</t>
  </si>
  <si>
    <t>Lorren Home Trends 57 Piece Dinnerware Set-New Bo Gold</t>
  </si>
  <si>
    <t>CHLOE-57</t>
  </si>
  <si>
    <t>CHARCOAL</t>
  </si>
  <si>
    <t>MADE OF FINE AND DURABLE BONE CHINA</t>
  </si>
  <si>
    <t>792977011010</t>
  </si>
  <si>
    <t>Uttermost Sherise Oval Mirror Bronze</t>
  </si>
  <si>
    <t>01101 B</t>
  </si>
  <si>
    <t>GLASS BEVELED MIRROR; HAND FORGED STEEL FRAME WITH LIGHTLY DISTRESSED, OIL RUBBED BRONZE FINISH; MDF</t>
  </si>
  <si>
    <t>37725564036</t>
  </si>
  <si>
    <t>Noritake Noritake Austin Platinum 50-Pc</t>
  </si>
  <si>
    <t>4360-50C</t>
  </si>
  <si>
    <t>BLACK</t>
  </si>
  <si>
    <t>NORITAKE</t>
  </si>
  <si>
    <t>PORCELAIN</t>
  </si>
  <si>
    <t>790824073709</t>
  </si>
  <si>
    <t>Michael Aram Michael Aram Noahs Ark Center Silver</t>
  </si>
  <si>
    <t>SQCTRPCBWL</t>
  </si>
  <si>
    <t>S SLV CY/SCG</t>
  </si>
  <si>
    <t>MICHAEL ARAM INC</t>
  </si>
  <si>
    <t>STAINLESS STEEL, BLACK NICKELPLATE</t>
  </si>
  <si>
    <t>613580004308</t>
  </si>
  <si>
    <t>WOODBURY MENORAH</t>
  </si>
  <si>
    <t>SIMON PEARCE US INC</t>
  </si>
  <si>
    <t>MADE IN USA</t>
  </si>
  <si>
    <t>GLASS</t>
  </si>
  <si>
    <t>882864327161</t>
  </si>
  <si>
    <t>Lenox Embassy Oval Platter</t>
  </si>
  <si>
    <t>L823201</t>
  </si>
  <si>
    <t>NATURAL</t>
  </si>
  <si>
    <t>MEDPLATTER</t>
  </si>
  <si>
    <t>LENOX INC</t>
  </si>
  <si>
    <t>MADE IN USA OF IMPORTED MATERIALS</t>
  </si>
  <si>
    <t>91709451774</t>
  </si>
  <si>
    <t>Lenox Opal Innocence Teapot</t>
  </si>
  <si>
    <t>L6251847</t>
  </si>
  <si>
    <t>4901601589566</t>
  </si>
  <si>
    <t>Shun Classic 2-Piece Carving Set</t>
  </si>
  <si>
    <t>DMS200</t>
  </si>
  <si>
    <t>PRE-PACK</t>
  </si>
  <si>
    <t>CUTLERY</t>
  </si>
  <si>
    <t>KERSHAW/KAI USA LTD</t>
  </si>
  <si>
    <t>615715831353</t>
  </si>
  <si>
    <t>Lorren Home Trends Catherine 57-Pc. Dinnerware Se Gold</t>
  </si>
  <si>
    <t>CATHERINE-57</t>
  </si>
  <si>
    <t>615715412286</t>
  </si>
  <si>
    <t>Lorren Home Trends Lorren Home Trends Porcelain C Gold-Tone ONE SIZE</t>
  </si>
  <si>
    <t>GLORIA-57</t>
  </si>
  <si>
    <t>882864715296</t>
  </si>
  <si>
    <t>RAD SPRING OVL PLTR</t>
  </si>
  <si>
    <t>L873466</t>
  </si>
  <si>
    <t>LRGPLATTER</t>
  </si>
  <si>
    <t>91709451279</t>
  </si>
  <si>
    <t>Lenox Lenox Murray Hill Oval Platt</t>
  </si>
  <si>
    <t>L6253033</t>
  </si>
  <si>
    <t>24258388925</t>
  </si>
  <si>
    <t>Waterford Wedding Heirloom 8 x 10 Frame</t>
  </si>
  <si>
    <t>882864510990</t>
  </si>
  <si>
    <t>kate spade new york kate spade new york Sugar Poin No Color</t>
  </si>
  <si>
    <t>L847399</t>
  </si>
  <si>
    <t>SERVINGBWL</t>
  </si>
  <si>
    <t>KATE SPADE CHINA/LENOX</t>
  </si>
  <si>
    <t>91709299284</t>
  </si>
  <si>
    <t>Lenox Vintage Jewel Oval Platter,</t>
  </si>
  <si>
    <t>L104210442</t>
  </si>
  <si>
    <t>790824470218</t>
  </si>
  <si>
    <t>RIPPLE EFF LG SERV BWL</t>
  </si>
  <si>
    <t>CL-KATE SPADE</t>
  </si>
  <si>
    <t>STAINLESS STEEL</t>
  </si>
  <si>
    <t>790824576811</t>
  </si>
  <si>
    <t>Michael Aram Michael Aram Butterfly Ginkgo</t>
  </si>
  <si>
    <t>MADE IN INDIA</t>
  </si>
  <si>
    <t>MARBLE/BRONZE/STAINLESS STEEL</t>
  </si>
  <si>
    <t>Michael Aram Ripple Effect Large Serving Bo Silver</t>
  </si>
  <si>
    <t>701587406239</t>
  </si>
  <si>
    <t>LISMRE CANDLESTICK 6IN SBASIC</t>
  </si>
  <si>
    <t>737859061004</t>
  </si>
  <si>
    <t>Lladro Sitting Bunny Figurine</t>
  </si>
  <si>
    <t>ASSORTED</t>
  </si>
  <si>
    <t>LLADRO</t>
  </si>
  <si>
    <t>885991177135</t>
  </si>
  <si>
    <t>Mikasa Mikasa Lilah 45-PC Flatware Se Stainless</t>
  </si>
  <si>
    <t>SILVER</t>
  </si>
  <si>
    <t>FLATWARE</t>
  </si>
  <si>
    <t>MIKASA/LIFETIME BRANDS</t>
  </si>
  <si>
    <t>CRAFTED OF 18/10 STAINLESS STEEL.</t>
  </si>
  <si>
    <t>882864823601</t>
  </si>
  <si>
    <t>Lenox Trianna 12-Pc. Dinnerware Set, Blush</t>
  </si>
  <si>
    <t>L886115</t>
  </si>
  <si>
    <t>LT/PAS RED</t>
  </si>
  <si>
    <t>24258503816</t>
  </si>
  <si>
    <t>Waterford Set of 2 Lismore Diamond Tumbl No Color</t>
  </si>
  <si>
    <t>792977092262</t>
  </si>
  <si>
    <t>Uttermost Galina Iron Oval Mirror No Color</t>
  </si>
  <si>
    <t>GLASS MIRROR WITH 1.25'' BEVEL; FORGED GALVANIZED IRON/MDF FRAME WITH A LIGHT GRAY WASH FINISH ACCENTED BY RUSTIC BLACK INNER AND OUTER LINES</t>
  </si>
  <si>
    <t>49182937674</t>
  </si>
  <si>
    <t>Stupell Industries Stupell Industries Rainbow Wat Multi</t>
  </si>
  <si>
    <t>NPS-117 CN 9PC12X12</t>
  </si>
  <si>
    <t>BRNOVERFLW</t>
  </si>
  <si>
    <t>STUPELL INDUSTRIES</t>
  </si>
  <si>
    <t>CANVAS (COTTON)</t>
  </si>
  <si>
    <t>807472423746</t>
  </si>
  <si>
    <t>3R Studio Oval Wall Clock</t>
  </si>
  <si>
    <t>DE6896</t>
  </si>
  <si>
    <t>CREATIVE CO-OP INC</t>
  </si>
  <si>
    <t>WOOD/MEDIUM DENSITY FIBERBOARD</t>
  </si>
  <si>
    <t>701587444408</t>
  </si>
  <si>
    <t>LIS OFFSET CAKE SERV</t>
  </si>
  <si>
    <t>MADE IN SLOVENIA</t>
  </si>
  <si>
    <t>18/10 STAINLESS STEEL/CRYSTAL</t>
  </si>
  <si>
    <t>672275311381</t>
  </si>
  <si>
    <t>BRAID MARBLE CHEESEBD</t>
  </si>
  <si>
    <t>MT1138</t>
  </si>
  <si>
    <t>GRAY</t>
  </si>
  <si>
    <t>NAMBE MILLS INC (623/210)</t>
  </si>
  <si>
    <t>MARBLE; STAINLESS STEEL</t>
  </si>
  <si>
    <t>37725508771</t>
  </si>
  <si>
    <t>Noritake Silver Palace 5-Piece Place</t>
  </si>
  <si>
    <t>4773-05E</t>
  </si>
  <si>
    <t>SGLPLCSET</t>
  </si>
  <si>
    <t>BONE CHINA AND PLATINUM</t>
  </si>
  <si>
    <t>790824241412</t>
  </si>
  <si>
    <t>Michael Aram Botanical Leaf Gold Frame 8 x No Color</t>
  </si>
  <si>
    <t>91709514943</t>
  </si>
  <si>
    <t>kate spade new york Kate Spade Cypress Point 5 Pie</t>
  </si>
  <si>
    <t>L6383350</t>
  </si>
  <si>
    <t>COMPLETER</t>
  </si>
  <si>
    <t>FINE CHINA</t>
  </si>
  <si>
    <t>190808025166</t>
  </si>
  <si>
    <t>Cyan Design Cyan Design Alder Boxes, Set o White</t>
  </si>
  <si>
    <t>QUORUM INTL DBA CYAN DESIGN</t>
  </si>
  <si>
    <t>WOOD</t>
  </si>
  <si>
    <t>32675140972</t>
  </si>
  <si>
    <t>Wedgwood Nantucket Basket 5-Piece Pla</t>
  </si>
  <si>
    <t>91709056658</t>
  </si>
  <si>
    <t>Lenox Eternal Large Oval Open Vege</t>
  </si>
  <si>
    <t>L140104510</t>
  </si>
  <si>
    <t>LOVLVEGBWL</t>
  </si>
  <si>
    <t>672275311756</t>
  </si>
  <si>
    <t>Nambe Triple Condiment Set with Spoo Clear And Silver No Size</t>
  </si>
  <si>
    <t>MT1175</t>
  </si>
  <si>
    <t>NAMBE MILLS INC (881/210)</t>
  </si>
  <si>
    <t>GLASS/STAINLESS STEEL/CHROME PLATE</t>
  </si>
  <si>
    <t>613580000836</t>
  </si>
  <si>
    <t>WOODBURY H PHOTO 4X6</t>
  </si>
  <si>
    <t>732996683638</t>
  </si>
  <si>
    <t>Hotel Collection Modern Oval 12-Pc. Dinnerware White</t>
  </si>
  <si>
    <t>PB DNRWRE</t>
  </si>
  <si>
    <t>HOTEL COLLECTION-MMG/OVER AND BACK</t>
  </si>
  <si>
    <t>667880930744</t>
  </si>
  <si>
    <t>Chilewich Chilewich Ombre Shag Big Mat - Grey</t>
  </si>
  <si>
    <t>SHAG138</t>
  </si>
  <si>
    <t>DARK GRAY</t>
  </si>
  <si>
    <t>36X3X60/5</t>
  </si>
  <si>
    <t>TABLE LINENS</t>
  </si>
  <si>
    <t>CHILEWICH SULTAN LLC</t>
  </si>
  <si>
    <t>882864412713</t>
  </si>
  <si>
    <t>Lenox Garden Grove 5-Piece Place Set</t>
  </si>
  <si>
    <t>L834265</t>
  </si>
  <si>
    <t>886511302198</t>
  </si>
  <si>
    <t>Trademark Global Italian Afternoon by Rio 47 Multiple</t>
  </si>
  <si>
    <t>MA0342-C2447GG</t>
  </si>
  <si>
    <t>MEDIUM S/S</t>
  </si>
  <si>
    <t>TRADEMARK GLOBAL/TRADEMARK GAMES</t>
  </si>
  <si>
    <t>CANVAS/WOOD</t>
  </si>
  <si>
    <t>37725399362</t>
  </si>
  <si>
    <t>Noritake Odessa Platinum Gravy Boat And Silver</t>
  </si>
  <si>
    <t>4875-416</t>
  </si>
  <si>
    <t>28295468817</t>
  </si>
  <si>
    <t>Umbra Umbra Prisma Decorative Wall M Black</t>
  </si>
  <si>
    <t>358776-040</t>
  </si>
  <si>
    <t>UMBRA LLC</t>
  </si>
  <si>
    <t>METAL/MIRROR</t>
  </si>
  <si>
    <t>790824241719</t>
  </si>
  <si>
    <t>Michael Aram BOTANICAL LEAF GOLD CANISTER - Gold</t>
  </si>
  <si>
    <t>885991170327</t>
  </si>
  <si>
    <t>Mikasa Delano Rose Gold-Plated 20-Pie Rose Gold</t>
  </si>
  <si>
    <t>20PCSERV4</t>
  </si>
  <si>
    <t>18/0 STAINLESS STEEL</t>
  </si>
  <si>
    <t>35886185817</t>
  </si>
  <si>
    <t>J.A. Henckels International Everedge Plus 13</t>
  </si>
  <si>
    <t>15500-000</t>
  </si>
  <si>
    <t>J A HENCKELS ZWILLING</t>
  </si>
  <si>
    <t>STAINLESS STEEL BLADES; HARDWOOD BLOCK</t>
  </si>
  <si>
    <t>732995533651</t>
  </si>
  <si>
    <t>Hotel Collection Round Bar Cart No Color No Size</t>
  </si>
  <si>
    <t>PB PRM STM/BR</t>
  </si>
  <si>
    <t>HOTEL COLLECTION</t>
  </si>
  <si>
    <t>STEEL/WOOD/MARBLE</t>
  </si>
  <si>
    <t>761323006109</t>
  </si>
  <si>
    <t>Nambe Nambe Handled Tray, 7 x 14 Silver</t>
  </si>
  <si>
    <t>SERVIGTRAY</t>
  </si>
  <si>
    <t>TRAY, 7" X 14"</t>
  </si>
  <si>
    <t>882864435101</t>
  </si>
  <si>
    <t>Lenox Artemis 5-Piece Place Setting</t>
  </si>
  <si>
    <t>L837593</t>
  </si>
  <si>
    <t>885991082712</t>
  </si>
  <si>
    <t>Mikasa Antique White Pasta Set</t>
  </si>
  <si>
    <t>PASTA BOWL</t>
  </si>
  <si>
    <t>CASUAL CHINA</t>
  </si>
  <si>
    <t>EARTHENWARE</t>
  </si>
  <si>
    <t>790824471413</t>
  </si>
  <si>
    <t>RPL EFF SM CHS BRD W KNF</t>
  </si>
  <si>
    <t>GRANITE, POLISHED ALUMINUM, STAINLESS STEEL</t>
  </si>
  <si>
    <t>9006206516025</t>
  </si>
  <si>
    <t>Riedel Pay 4 Get 8 Vinum Cabernet and</t>
  </si>
  <si>
    <t>5416-59</t>
  </si>
  <si>
    <t>P STM BR/GLSW</t>
  </si>
  <si>
    <t>RIEDEL/CRYSTAL OF AMERICA INC</t>
  </si>
  <si>
    <t>701587012805</t>
  </si>
  <si>
    <t>Vera Wang Wedgwood Vera Wang Wedgwood Polished Go gold</t>
  </si>
  <si>
    <t>5PCPLACEST</t>
  </si>
  <si>
    <t>VERA WANG/FISKARS LIVING US LLC</t>
  </si>
  <si>
    <t>615715311145</t>
  </si>
  <si>
    <t>Lorren Home Trends 16 Piece Glazed Dinnerware Neu Neutral and Blue</t>
  </si>
  <si>
    <t>LH522</t>
  </si>
  <si>
    <t>STONEWARE</t>
  </si>
  <si>
    <t>37725561479</t>
  </si>
  <si>
    <t>Noritake Odessa Gold 5-Piece Place Sett</t>
  </si>
  <si>
    <t>4874-05E</t>
  </si>
  <si>
    <t>PINKOVERFL</t>
  </si>
  <si>
    <t>54067202907</t>
  </si>
  <si>
    <t>Zyliss Comfort Pro 12-Pc. Knife Block Multi</t>
  </si>
  <si>
    <t>E920280U</t>
  </si>
  <si>
    <t>DKB HOUSEHOLD USA CORP</t>
  </si>
  <si>
    <t>768549410772</t>
  </si>
  <si>
    <t>WINTER STAR ORNAMENT</t>
  </si>
  <si>
    <t>SWAROVSKI NORTH AMERICA LTD</t>
  </si>
  <si>
    <t>100% SWAROVSKI CRYSTAL</t>
  </si>
  <si>
    <t>790824241122</t>
  </si>
  <si>
    <t>Michael Aram Botanical Leaf Gold Frame 5 x No Color</t>
  </si>
  <si>
    <t>MADE IN CHINA</t>
  </si>
  <si>
    <t>GOLD-TONE PLATED ZINC</t>
  </si>
  <si>
    <t>91709027757</t>
  </si>
  <si>
    <t>Lenox Federal Gold Collection 2-Pc. White</t>
  </si>
  <si>
    <t>L100191062</t>
  </si>
  <si>
    <t>SUGAR</t>
  </si>
  <si>
    <t>882864290618</t>
  </si>
  <si>
    <t>Kate Spade Picture Frame, Sullivan Street</t>
  </si>
  <si>
    <t>L818434</t>
  </si>
  <si>
    <t>RECTANGLE</t>
  </si>
  <si>
    <t>KATE SPADE/LENOX INC</t>
  </si>
  <si>
    <t>SILVER PLATE</t>
  </si>
  <si>
    <t>885991119494</t>
  </si>
  <si>
    <t>Mikasa Gourmet Basics by Mikasa Metro MULTI</t>
  </si>
  <si>
    <t>24258307872</t>
  </si>
  <si>
    <t>Waterford Kilbarry Platinum 5-Piece Pl</t>
  </si>
  <si>
    <t>CHINA</t>
  </si>
  <si>
    <t>86279080233</t>
  </si>
  <si>
    <t>Cuisinart Advantage Forged Triple Rivet</t>
  </si>
  <si>
    <t>C77SS-15P</t>
  </si>
  <si>
    <t>CUISINARTS/CONAIR CORP</t>
  </si>
  <si>
    <t>25398205721</t>
  </si>
  <si>
    <t>Pfaltzgraff Amelia Cream 16-pc. Dinnerware Cream</t>
  </si>
  <si>
    <t>PFALTZGRAFF/LIFETIME BRANDS INC</t>
  </si>
  <si>
    <t>851921008701</t>
  </si>
  <si>
    <t>Amalfi Amalfi Sophia Crystal-Draped C Silver NO SIZE</t>
  </si>
  <si>
    <t>CS330SS</t>
  </si>
  <si>
    <t>PROMO GIFTS</t>
  </si>
  <si>
    <t>AMALFI DECOR</t>
  </si>
  <si>
    <t>STEEL, GLASS, POLYRESIN</t>
  </si>
  <si>
    <t>651083919101</t>
  </si>
  <si>
    <t>Global Views Global Views Harvest Moon Wall</t>
  </si>
  <si>
    <t>WALL T-LITE HLDR-LG</t>
  </si>
  <si>
    <t>GLOBAL VIEWS</t>
  </si>
  <si>
    <t>IRON</t>
  </si>
  <si>
    <t>790824461452</t>
  </si>
  <si>
    <t>Michael Aram Michael Aram Block 16 Long Pl Silver</t>
  </si>
  <si>
    <t>701587383011</t>
  </si>
  <si>
    <t>Waterford Giftology Alana 5 Bowl No Color</t>
  </si>
  <si>
    <t>701587141826</t>
  </si>
  <si>
    <t>Waterford Waterford Lismore Diamond Esse</t>
  </si>
  <si>
    <t>WINE</t>
  </si>
  <si>
    <t>24258202467</t>
  </si>
  <si>
    <t>Waterford Lismore Tall Wine</t>
  </si>
  <si>
    <t>37725591872</t>
  </si>
  <si>
    <t>Noritake x White</t>
  </si>
  <si>
    <t>4959-05E</t>
  </si>
  <si>
    <t>701587141819</t>
  </si>
  <si>
    <t>FLUTE</t>
  </si>
  <si>
    <t>87171042985</t>
  </si>
  <si>
    <t>Shun Sora 9 Bread Knife</t>
  </si>
  <si>
    <t>VB0705</t>
  </si>
  <si>
    <t>24258202443</t>
  </si>
  <si>
    <t>Waterford Lismore Tall Flute</t>
  </si>
  <si>
    <t>701587350242</t>
  </si>
  <si>
    <t>Waterford Mara Tumblers, Set of 2 No Color</t>
  </si>
  <si>
    <t>882864392787</t>
  </si>
  <si>
    <t>Marchesa by Lenox Imperial Caviar Gold 5 Piece P Gold</t>
  </si>
  <si>
    <t>L831900</t>
  </si>
  <si>
    <t>MARCHESA/LENOX BRANDS</t>
  </si>
  <si>
    <t>18/10 STAINLESS STEEL WITH GOLD PLATING</t>
  </si>
  <si>
    <t>882864514837</t>
  </si>
  <si>
    <t>kate spade new york kate spade new york Malmo Rose Rose Gold</t>
  </si>
  <si>
    <t>L847833</t>
  </si>
  <si>
    <t>KATE SPADE/KIRK STIEFF/LENOX BRANDS</t>
  </si>
  <si>
    <t>24258020016</t>
  </si>
  <si>
    <t>Waterford Lismore Wine Glass</t>
  </si>
  <si>
    <t>7391533911516</t>
  </si>
  <si>
    <t>Kosta Boda Hot Lips Figurine Pearl Pink</t>
  </si>
  <si>
    <t>DARK PINK</t>
  </si>
  <si>
    <t>KOSTA BODA/ORREFORS KOSTA BODA</t>
  </si>
  <si>
    <t>24258202481</t>
  </si>
  <si>
    <t>Waterford Lismore Tall Iced Beverage G</t>
  </si>
  <si>
    <t>ICED BEVER</t>
  </si>
  <si>
    <t>24258380905</t>
  </si>
  <si>
    <t>Waterford Lismore Nouveau Wine</t>
  </si>
  <si>
    <t>91709210906</t>
  </si>
  <si>
    <t>Lenox Federal Gold 5-Piece Place Set</t>
  </si>
  <si>
    <t>L100191602</t>
  </si>
  <si>
    <t>37725324197</t>
  </si>
  <si>
    <t>Noritake Montvale Platinum 5-Piece Pl</t>
  </si>
  <si>
    <t>4807-05E</t>
  </si>
  <si>
    <t>7319677197429</t>
  </si>
  <si>
    <t>PLAZA FRAME 5X7</t>
  </si>
  <si>
    <t>ORREFORS/ORREFORS KOSTA BODA</t>
  </si>
  <si>
    <t>651784005349</t>
  </si>
  <si>
    <t>Tempaper Tempaper Distressed Gold Leaf Pearl</t>
  </si>
  <si>
    <t>DI534</t>
  </si>
  <si>
    <t>LT/PAS GRY</t>
  </si>
  <si>
    <t>TEMPAPER/LOLLIPROPS INC</t>
  </si>
  <si>
    <t>VINYL</t>
  </si>
  <si>
    <t>732996801728</t>
  </si>
  <si>
    <t>Martha Stewart Collection English Garden 12-Pc. Dinnerwa Blue</t>
  </si>
  <si>
    <t>MARTHA STEWART/OVER &amp; BACK</t>
  </si>
  <si>
    <t>71160068018</t>
  </si>
  <si>
    <t>Corelle Vivid White Square Dinnerware</t>
  </si>
  <si>
    <t>INSTANT BRANDS LLC</t>
  </si>
  <si>
    <t>MADE IN USA AND IMPORTED</t>
  </si>
  <si>
    <t>VITRELLE GLASS; PORCELAIN/STONEWARE MUGS</t>
  </si>
  <si>
    <t>9006206214723</t>
  </si>
  <si>
    <t>FATTO MANO WHT CAB</t>
  </si>
  <si>
    <t>49000W</t>
  </si>
  <si>
    <t>MADE IN AUSTRIA</t>
  </si>
  <si>
    <t>CRYSTALINE</t>
  </si>
  <si>
    <t>667880921919</t>
  </si>
  <si>
    <t>Chilewich Chilewich Skinny Stripe Utilit Turquoise</t>
  </si>
  <si>
    <t>SHAG078</t>
  </si>
  <si>
    <t>TURQ/AQUA</t>
  </si>
  <si>
    <t>790824169853</t>
  </si>
  <si>
    <t>BLACK ORCHID S&amp;P</t>
  </si>
  <si>
    <t>STAINLESS STEEL SHAKERS; CADDY IS STAINLESS STEEL WITH BLACK NICKEL PLATE FINISH</t>
  </si>
  <si>
    <t>790824241030</t>
  </si>
  <si>
    <t>Michael Aram Botanical Leaf Gold Frame 4 x No Color</t>
  </si>
  <si>
    <t>885991214939</t>
  </si>
  <si>
    <t>Mikasa Mikasa Raina Gold 5 Piece Plac White</t>
  </si>
  <si>
    <t>627865111575</t>
  </si>
  <si>
    <t>Giant Art Giant Art 20 x 16 Orgullo Ar Multi No Size</t>
  </si>
  <si>
    <t>WAG125010 2016CF</t>
  </si>
  <si>
    <t>EYES ON WALL DISTRIBUTION</t>
  </si>
  <si>
    <t>COTTON CANVAS, WOOD</t>
  </si>
  <si>
    <t>733004967672</t>
  </si>
  <si>
    <t>Martha Stewart Collection Hello Sunshine 12-Pc. Dinnerwa Multi</t>
  </si>
  <si>
    <t>MMG-MARTHA STEWART/YS CERAMICS CO</t>
  </si>
  <si>
    <t>739175726391</t>
  </si>
  <si>
    <t>Mele Co Mele Co. Hampden Mens Glass</t>
  </si>
  <si>
    <t>00695S17</t>
  </si>
  <si>
    <t>MELE &amp; CO/MELE JEWELRY BOX CORP</t>
  </si>
  <si>
    <t>COMPOSITE WOOD, GLASS</t>
  </si>
  <si>
    <t>24258493216</t>
  </si>
  <si>
    <t>Waterford Lismore Essence Gold Iced Beve No Color</t>
  </si>
  <si>
    <t>91709432896</t>
  </si>
  <si>
    <t>Lenox Opal Innocence 8 x 10 Pictur</t>
  </si>
  <si>
    <t>L6225924</t>
  </si>
  <si>
    <t>8X10 SGLE</t>
  </si>
  <si>
    <t>LENOX</t>
  </si>
  <si>
    <t>24258493193</t>
  </si>
  <si>
    <t>Waterford Lismore Essence Gold Wine Glas No Color</t>
  </si>
  <si>
    <t>761323060866</t>
  </si>
  <si>
    <t>Nambe Kissing Salt and Pepper Shak</t>
  </si>
  <si>
    <t>SALTPEPPER</t>
  </si>
  <si>
    <t>METAL</t>
  </si>
  <si>
    <t>194372000895</t>
  </si>
  <si>
    <t>Lenox Naomi Bay Set of 2 Serve Bowls Pale Teal And Linen No Size</t>
  </si>
  <si>
    <t>L890874</t>
  </si>
  <si>
    <t>CERAMIC</t>
  </si>
  <si>
    <t>24258492981</t>
  </si>
  <si>
    <t>Waterford Lismore Essence Gold Goblet No Color</t>
  </si>
  <si>
    <t>GOBLET</t>
  </si>
  <si>
    <t>732994839242</t>
  </si>
  <si>
    <t>Hotel Collection Modern Bisque Dinnerware Colle White</t>
  </si>
  <si>
    <t>9006206528431</t>
  </si>
  <si>
    <t>COLD DRINKS SET</t>
  </si>
  <si>
    <t>MADE IN GERMANY</t>
  </si>
  <si>
    <t>24258462991</t>
  </si>
  <si>
    <t>Marquis by Waterford Rainfall Vase, 11</t>
  </si>
  <si>
    <t>MARQUIS/FISKARS LIVING US LLC</t>
  </si>
  <si>
    <t>733002965328</t>
  </si>
  <si>
    <t>Martha Stewart Collection Harvest 12-Pc. Dinnerware Set, Multi</t>
  </si>
  <si>
    <t>701587376754</t>
  </si>
  <si>
    <t>Vera Wang Wedgwood Moderne 5-Pc. Flatware Place S Silver</t>
  </si>
  <si>
    <t>719978809415</t>
  </si>
  <si>
    <t>Hotel Collection Hotel Collection Black 20-Pc. Black</t>
  </si>
  <si>
    <t>286320P493</t>
  </si>
  <si>
    <t>HOTEL COLLECTION-EDI</t>
  </si>
  <si>
    <t>701587423090</t>
  </si>
  <si>
    <t>Waterford Waterford Northbrooke 10 Bowl No Color</t>
  </si>
  <si>
    <t>840703103857</t>
  </si>
  <si>
    <t>Nearly Natural Decorative Chests, Set of 2 Brown No Size</t>
  </si>
  <si>
    <t>BROWN</t>
  </si>
  <si>
    <t>NEARLY NATURAL</t>
  </si>
  <si>
    <t>PLASTIC/STYROFOAM/CERAMIC</t>
  </si>
  <si>
    <t>882864307804</t>
  </si>
  <si>
    <t>kate spade new york Magnolia Drive 5 Piece Place</t>
  </si>
  <si>
    <t>L820862</t>
  </si>
  <si>
    <t>18/10 STAINLESS STEEL</t>
  </si>
  <si>
    <t>194372000918</t>
  </si>
  <si>
    <t>Lenox Naomi Bay Chip-n-Dip Linen No Size</t>
  </si>
  <si>
    <t>L890876</t>
  </si>
  <si>
    <t>24258481947</t>
  </si>
  <si>
    <t>Waterford Goblet, Ballet Ribbon Essence</t>
  </si>
  <si>
    <t>24258481978</t>
  </si>
  <si>
    <t>Waterford Iced Beverage Glass, Ballet Ri</t>
  </si>
  <si>
    <t>5011583352153</t>
  </si>
  <si>
    <t>Graham Brown Laguna Mist Wall Art, Set of 2 Metallic</t>
  </si>
  <si>
    <t>GRAHAM &amp; BROWN INC</t>
  </si>
  <si>
    <t>CANVAS</t>
  </si>
  <si>
    <t>91212279070</t>
  </si>
  <si>
    <t>Brewster Home Fashions Brewster Home Fashions Lilt Fa Blue</t>
  </si>
  <si>
    <t>2793-24282</t>
  </si>
  <si>
    <t>NAVY</t>
  </si>
  <si>
    <t>WALLPOPS/BREWSTER WALLCOVERINGS CO</t>
  </si>
  <si>
    <t>NON WOVEN</t>
  </si>
  <si>
    <t>768549406935</t>
  </si>
  <si>
    <t>Swarovski Annual Edition 2019 Christmas White</t>
  </si>
  <si>
    <t>701587432078</t>
  </si>
  <si>
    <t>Waterford Merilee Flute Pair</t>
  </si>
  <si>
    <t>191344107323</t>
  </si>
  <si>
    <t>Trademark Global Color Bakery Le Pink Matted Silver No Size</t>
  </si>
  <si>
    <t>ALI4751-S1616BMF</t>
  </si>
  <si>
    <t>ACRYLIC</t>
  </si>
  <si>
    <t>99967388177</t>
  </si>
  <si>
    <t>Picnic Time Moreno 3-Bottle Wine Cheese Navy</t>
  </si>
  <si>
    <t>624-04-138-000-0</t>
  </si>
  <si>
    <t>GIFTING INITV</t>
  </si>
  <si>
    <t>PICNIC TIME</t>
  </si>
  <si>
    <t>TOTE: POLYESTER/POLYPROPYLENE/POLYURETHANE FOAM; CHEESE BOARD: WOOD; KNIFE AND CORKSCREW: STAINLESS STEEL</t>
  </si>
  <si>
    <t>684548006696</t>
  </si>
  <si>
    <t>SPICY APPLE 6.5"</t>
  </si>
  <si>
    <t>116-BOT-APP</t>
  </si>
  <si>
    <t>OUTDOOR LIVNG</t>
  </si>
  <si>
    <t>ROSY RINGS</t>
  </si>
  <si>
    <t>APPLE SLICES/BAY LEAVES/CINNAMON STICKS/ROSEHIPS/ESSENTIAL AND HIGH QUALITY FRAGRANCE OILS/WAX/COTTON</t>
  </si>
  <si>
    <t>719978816994</t>
  </si>
  <si>
    <t>Cambridge Silversmiths Rosalind Mirror 42-Piece Flatw Silver</t>
  </si>
  <si>
    <t>3202K9P548DS</t>
  </si>
  <si>
    <t>CAMBRIDGE SILVERSMITHS/LENOX BRANDS</t>
  </si>
  <si>
    <t>32677958827</t>
  </si>
  <si>
    <t>Vera Wang Wedgwood Vera Wang Lace Gravy Stand</t>
  </si>
  <si>
    <t>7319672987148</t>
  </si>
  <si>
    <t>Orrefors Orrefors Dizzy Diamond Flute</t>
  </si>
  <si>
    <t>701587408127</t>
  </si>
  <si>
    <t>Waterford Waterford Lismore Ogham Mothe Clear</t>
  </si>
  <si>
    <t>7321646006632</t>
  </si>
  <si>
    <t>Orrefors Orrefors Discus Votive Gold</t>
  </si>
  <si>
    <t>4003683427634</t>
  </si>
  <si>
    <t>Villeroy Boch Urban Nature Oval Serving Pl</t>
  </si>
  <si>
    <t>VILLEROY &amp; BOCH TABLEWARE</t>
  </si>
  <si>
    <t>889850293806</t>
  </si>
  <si>
    <t>iCanvas iCanvas Golden Lips by Color Multi</t>
  </si>
  <si>
    <t>CRO3281PC32626</t>
  </si>
  <si>
    <t>KROTO/ICANVAS</t>
  </si>
  <si>
    <t>ARTIST-GRADE COTTON AND POLY CANVAS AND PINE WOOD BARS</t>
  </si>
  <si>
    <t>613580008306</t>
  </si>
  <si>
    <t>WDBRY BUD VASE GIFT BOX BASIC</t>
  </si>
  <si>
    <t>LEAD-FREE GLASS</t>
  </si>
  <si>
    <t>37725589374</t>
  </si>
  <si>
    <t>Noritake Blue Hammock Oval Platter Blue</t>
  </si>
  <si>
    <t>9349-413</t>
  </si>
  <si>
    <t>882864350992</t>
  </si>
  <si>
    <t>Marchesa by Lenox Imperial Caviar 5 Piece Place</t>
  </si>
  <si>
    <t>L826396</t>
  </si>
  <si>
    <t>37725593326</t>
  </si>
  <si>
    <t>Noritake Noritake Charlotta Gold 5 Pie Whitegold</t>
  </si>
  <si>
    <t>1716-05E</t>
  </si>
  <si>
    <t>DISHWASHER SAFE</t>
  </si>
  <si>
    <t>4003686351677</t>
  </si>
  <si>
    <t>Villeroy Boch Villeroy Boch Montauk Sand H Sand No Size</t>
  </si>
  <si>
    <t>LEAD FREE CRYSTAL</t>
  </si>
  <si>
    <t>672275309531</t>
  </si>
  <si>
    <t>Nambe Moderne 12 Glass Salad Bowl</t>
  </si>
  <si>
    <t>MT0953</t>
  </si>
  <si>
    <t>701587454841</t>
  </si>
  <si>
    <t>Waterford Waterford Snow crystal Ornamen No Color 5.75 inches</t>
  </si>
  <si>
    <t>701587454834</t>
  </si>
  <si>
    <t>Waterford Waterford Snow star Ornament No Color 6.5 inches</t>
  </si>
  <si>
    <t>882864419842</t>
  </si>
  <si>
    <t>Lenox Adorn Toasting Flutes No Color</t>
  </si>
  <si>
    <t>L835161</t>
  </si>
  <si>
    <t>LENOX CRYSTAL</t>
  </si>
  <si>
    <t>91574183381</t>
  </si>
  <si>
    <t>Vera Wang Wedgwood Polished 5-Piece Place Setting</t>
  </si>
  <si>
    <t>790824513687</t>
  </si>
  <si>
    <t>Michael Aram Michael Aram Olive Branch Gold</t>
  </si>
  <si>
    <t>OXIDIZED NATURAL BRONZE/STAINLESS STEEL/POWDERCOAT</t>
  </si>
  <si>
    <t>191344905783</t>
  </si>
  <si>
    <t>Trademark Global Jai Johnson Blushing Silver A Multi</t>
  </si>
  <si>
    <t>ALI14040-C2232GG</t>
  </si>
  <si>
    <t>TRADEMARK GLOBAL/TRADEMRK GAMES II</t>
  </si>
  <si>
    <t>CANVAS (COTTON-POLY BLEND), WOOD</t>
  </si>
  <si>
    <t>35886263256</t>
  </si>
  <si>
    <t>J.A. Henckels Pavo 1810 Stainless Steel 5-P Silver</t>
  </si>
  <si>
    <t>22703-305</t>
  </si>
  <si>
    <t>85081371096</t>
  </si>
  <si>
    <t>Hotel Collection 3-Pc. Wooden Salad Set Black</t>
  </si>
  <si>
    <t>HTL3PSLDSET</t>
  </si>
  <si>
    <t>PB PROMO GIFT</t>
  </si>
  <si>
    <t>ACACIA WOOD</t>
  </si>
  <si>
    <t>761323075655</t>
  </si>
  <si>
    <t>Nambe Nambe Dazzle Cake Knife and Se</t>
  </si>
  <si>
    <t>667880921926</t>
  </si>
  <si>
    <t>Chilewich Chilewich Skinny Stripe Doorma Turquoise</t>
  </si>
  <si>
    <t>SHAG077</t>
  </si>
  <si>
    <t>VINYL/VINYL BACKING</t>
  </si>
  <si>
    <t>191453128998</t>
  </si>
  <si>
    <t>Swarovski Swarovski Annual Edition 2021</t>
  </si>
  <si>
    <t>SWAROVSKI CRYSTAL</t>
  </si>
  <si>
    <t>790824237002</t>
  </si>
  <si>
    <t>Michael Aram Snowman Ornament</t>
  </si>
  <si>
    <t>PORCELAIN BISQUE; GOLD PLATE; OXIDIZED BRONZE</t>
  </si>
  <si>
    <t>ANNUAL EDITION:ORNAM</t>
  </si>
  <si>
    <t>814803028532</t>
  </si>
  <si>
    <t>Lenox Tuscany Monogram 4-Pc. Pinot G P</t>
  </si>
  <si>
    <t>MAC-1352-L01-4 P</t>
  </si>
  <si>
    <t>SUSQUEHANNA GLASS COMPANY</t>
  </si>
  <si>
    <t>768549218811</t>
  </si>
  <si>
    <t>Swarovski Annual 2019 Edition Ornament White</t>
  </si>
  <si>
    <t>758647246205</t>
  </si>
  <si>
    <t>Rosemary Lane Traditional Candle Holder Silver-Tone</t>
  </si>
  <si>
    <t>UMA ENTERPRISES INC</t>
  </si>
  <si>
    <t>790824272751</t>
  </si>
  <si>
    <t>Michael Aram Michael Aram Lotus and Lily Nu</t>
  </si>
  <si>
    <t>NICKEL PLATE</t>
  </si>
  <si>
    <t>85081370983</t>
  </si>
  <si>
    <t>Soho Lounge White Elements Fleetwood 42-Pc White</t>
  </si>
  <si>
    <t>WHITE ELEMENT/GIBSON OVERSEAS INC</t>
  </si>
  <si>
    <t>FINE CERAMIC</t>
  </si>
  <si>
    <t>806644072997</t>
  </si>
  <si>
    <t>JAPONICA MACARON SET</t>
  </si>
  <si>
    <t>VOLUSPA/FLAME &amp; WAX</t>
  </si>
  <si>
    <t>COCONUT WAX/GLASS/NATURAL WICK</t>
  </si>
  <si>
    <t>882864767790</t>
  </si>
  <si>
    <t>Kate Spade KSK SCULPT STRIPE CREAM DW DIN Cream No Size</t>
  </si>
  <si>
    <t>L879422</t>
  </si>
  <si>
    <t>DINNERPLAT</t>
  </si>
  <si>
    <t>KATE SPADE KITCHEN/LENOX BRANDS</t>
  </si>
  <si>
    <t>882864825940</t>
  </si>
  <si>
    <t>Lenox Lenox Trianna Cocktail Glass, Lightpastel Grey No Size</t>
  </si>
  <si>
    <t>L886469</t>
  </si>
  <si>
    <t>NON-LEAD CRYSTAL</t>
  </si>
  <si>
    <t>748539210131</t>
  </si>
  <si>
    <t>Jasmine Art Glass 9 x 12 Rectangle Vase Multi</t>
  </si>
  <si>
    <t>8-21013</t>
  </si>
  <si>
    <t>JASMINE ART GLASS/AMERICAN PACIFIC</t>
  </si>
  <si>
    <t>882864846693</t>
  </si>
  <si>
    <t>Lenox Lenox Trianna All Purpose Glas Pink No Size</t>
  </si>
  <si>
    <t>L888990</t>
  </si>
  <si>
    <t>882864846662</t>
  </si>
  <si>
    <t>Lenox Lenox Trianna Cocktail Glass, Pink No Size</t>
  </si>
  <si>
    <t>L888987</t>
  </si>
  <si>
    <t>88235734563</t>
  </si>
  <si>
    <t>Jay Imports STONE TEXTURED PLANTER Grey</t>
  </si>
  <si>
    <t>1185238-M</t>
  </si>
  <si>
    <t>AMERICAN ATELIER FITZ &amp; FLOYD/JAY</t>
  </si>
  <si>
    <t>719978991691</t>
  </si>
  <si>
    <t>Cambridge Silversmiths Samantha Mirror 5-Piece, Place Gold</t>
  </si>
  <si>
    <t>297525R</t>
  </si>
  <si>
    <t>721074350449</t>
  </si>
  <si>
    <t>Lenox Federal Platinum Frost 5-Pie</t>
  </si>
  <si>
    <t>K6036206</t>
  </si>
  <si>
    <t>768549102677</t>
  </si>
  <si>
    <t>KRIS BEAR HOROSCOPE: ARIE</t>
  </si>
  <si>
    <t>MADE IN SERBIA</t>
  </si>
  <si>
    <t>882864825971</t>
  </si>
  <si>
    <t>Lenox Lenox Trianna All Purpose Glas Lightpastel Grey No Size</t>
  </si>
  <si>
    <t>L886472</t>
  </si>
  <si>
    <t>4003686389403</t>
  </si>
  <si>
    <t>Villeroy Boch Boston Flare Hiball Set of 4 Clear</t>
  </si>
  <si>
    <t>HIGH BALL</t>
  </si>
  <si>
    <t>32677749487</t>
  </si>
  <si>
    <t>Vera Wang Wedgwood Duchesse Wine Glass</t>
  </si>
  <si>
    <t>4003683222819</t>
  </si>
  <si>
    <t>Villeroy Boch Villeroy Boch Clear</t>
  </si>
  <si>
    <t>732316776057</t>
  </si>
  <si>
    <t>SIGNY CANSTR LG BASIC</t>
  </si>
  <si>
    <t>D880902</t>
  </si>
  <si>
    <t>LRGCANISTE</t>
  </si>
  <si>
    <t>DANSK/FOOD52 INC</t>
  </si>
  <si>
    <t>ACACIA WOOD/CARBONIZED ACACIA WOOD/PARAWOOD/GLASS</t>
  </si>
  <si>
    <t>795785580150</t>
  </si>
  <si>
    <t>Thirstystone Cherry Marble 14 Lazy Susan Dark Brown</t>
  </si>
  <si>
    <t>NM892-MCY</t>
  </si>
  <si>
    <t>DARK BROWN</t>
  </si>
  <si>
    <t>THIRSTYSTONE/CZOC HOUSEWARES LLC</t>
  </si>
  <si>
    <t>684548006566</t>
  </si>
  <si>
    <t>SPICY APPLE 5"</t>
  </si>
  <si>
    <t>116-BOS-APP</t>
  </si>
  <si>
    <t>4003762277723</t>
  </si>
  <si>
    <t>Riedel Riedel Nachtmann Shu Fa Smoke Smoke No Size</t>
  </si>
  <si>
    <t>632868016482</t>
  </si>
  <si>
    <t>Riedel Riedel Vinum Champagne</t>
  </si>
  <si>
    <t>6416-48</t>
  </si>
  <si>
    <t>MACHINE-BLOWN LEAD CRYSTAL</t>
  </si>
  <si>
    <t>701587157995</t>
  </si>
  <si>
    <t>Vera Wang Wedgwood Vera Wang Wedgwood Duchesse Go</t>
  </si>
  <si>
    <t>32677985144</t>
  </si>
  <si>
    <t>Vera Wang Wedgwood Lace Gold Dinner Plate, 10.7</t>
  </si>
  <si>
    <t>91574129778</t>
  </si>
  <si>
    <t>Wedgwood Wedgwood Renaissance Goldtone Blue ONE SIZE</t>
  </si>
  <si>
    <t>5C102102214</t>
  </si>
  <si>
    <t>CEREALBOWL</t>
  </si>
  <si>
    <t>22578001319</t>
  </si>
  <si>
    <t>Rabbit Pura Decanting System Glassblack No Size</t>
  </si>
  <si>
    <t>R2-14235</t>
  </si>
  <si>
    <t>METROKANE/LIFETIME BRANDS</t>
  </si>
  <si>
    <t>SODA-LIME GLASS/ACRYLIC/STAINLESS STEEL/SILICONE</t>
  </si>
  <si>
    <t>842896118977</t>
  </si>
  <si>
    <t>Zuo White Stone Large Decorative B White</t>
  </si>
  <si>
    <t>A10930</t>
  </si>
  <si>
    <t>ZUO MODERN CONTEMPORARY INC</t>
  </si>
  <si>
    <t>STEEL WITH A GOLD-TONE FINISH; AGATE STONE</t>
  </si>
  <si>
    <t>768549102561</t>
  </si>
  <si>
    <t>Swarovski Rocking Polar Bear Figurine Multicolor</t>
  </si>
  <si>
    <t>37725575056</t>
  </si>
  <si>
    <t>Noritake Odessa Cobalt Gold ButterReli Dark Blue</t>
  </si>
  <si>
    <t>4923-738</t>
  </si>
  <si>
    <t>DARK BLUE</t>
  </si>
  <si>
    <t>RELISHTRAY</t>
  </si>
  <si>
    <t>730936075840</t>
  </si>
  <si>
    <t>International Silver Whitney 20 Piece Set Flatware Gray</t>
  </si>
  <si>
    <t>WALLACE/LIFETIME BRANDS</t>
  </si>
  <si>
    <t>667880901430</t>
  </si>
  <si>
    <t>Chilewich Basketweave Runner Oyster</t>
  </si>
  <si>
    <t>RUNN047</t>
  </si>
  <si>
    <t>732996866987</t>
  </si>
  <si>
    <t>Lucky Brand Stainless Steel 20-Pc. Flatwar</t>
  </si>
  <si>
    <t>LUCKY - MMG</t>
  </si>
  <si>
    <t>28199640470</t>
  </si>
  <si>
    <t>Godinger Gustave 16-Pc. BlueWhite Gold Blue</t>
  </si>
  <si>
    <t>BRIGHTBLUE</t>
  </si>
  <si>
    <t>GODINGER INTERNATIONAL</t>
  </si>
  <si>
    <t>885991175254</t>
  </si>
  <si>
    <t>Mikasa Ellery 12 Vase Clear</t>
  </si>
  <si>
    <t>732316776781</t>
  </si>
  <si>
    <t>Dansk Halden Oval Platter No Color</t>
  </si>
  <si>
    <t>D882374</t>
  </si>
  <si>
    <t>DANSK/LENOX BRANDS</t>
  </si>
  <si>
    <t>37725322346</t>
  </si>
  <si>
    <t>Noritake Colorwave 4-Piece Place Sett Raspberry</t>
  </si>
  <si>
    <t>8045-04G</t>
  </si>
  <si>
    <t>194372020589</t>
  </si>
  <si>
    <t>Lenox Blue Bay 4-Piece Teacup Saucer White 4 Piece</t>
  </si>
  <si>
    <t>L893810</t>
  </si>
  <si>
    <t>CUP SAUCER</t>
  </si>
  <si>
    <t>4003686329386</t>
  </si>
  <si>
    <t>Villeroy Boch Clear Hurricane Lamp Large Vas Clear No Size</t>
  </si>
  <si>
    <t>882864732286</t>
  </si>
  <si>
    <t>Kate Spade All In Good Taste Deco Dot Piz No Size</t>
  </si>
  <si>
    <t>L875374</t>
  </si>
  <si>
    <t>885991156826</t>
  </si>
  <si>
    <t>Mikasa Electric Boulevard 4-Pc. Flute Gold</t>
  </si>
  <si>
    <t>194372000925</t>
  </si>
  <si>
    <t>Lenox Naomi Bay Hors DOeuvre Tray Teal No Size</t>
  </si>
  <si>
    <t>L890877</t>
  </si>
  <si>
    <t>882864543127</t>
  </si>
  <si>
    <t>Lenox Lenox Tuscany Craft Beer Wheat</t>
  </si>
  <si>
    <t>L851734</t>
  </si>
  <si>
    <t>LEAD-FREE CRYSTAL</t>
  </si>
  <si>
    <t>810034838209</t>
  </si>
  <si>
    <t>LP SERVING BOWL</t>
  </si>
  <si>
    <t>LPA31001</t>
  </si>
  <si>
    <t>JULISKA/PENSHURST TRADING INC</t>
  </si>
  <si>
    <t>85081478276</t>
  </si>
  <si>
    <t>Gibson Marble Wood Two-Tier Serving Grey</t>
  </si>
  <si>
    <t>CAKESERVER</t>
  </si>
  <si>
    <t>GIBSON OVERSEAS INC</t>
  </si>
  <si>
    <t>192055322685</t>
  </si>
  <si>
    <t>Trademark Global Jean Plout Wine 1 Canvas Art Multi</t>
  </si>
  <si>
    <t>ALI17523-C1624GG</t>
  </si>
  <si>
    <t>24258324190</t>
  </si>
  <si>
    <t>Waterford Newgrange Dinner Plate, 10.7</t>
  </si>
  <si>
    <t>191956395262</t>
  </si>
  <si>
    <t>Deny Designs Deny Designs Ensenada Sunrise Multicolor No Size</t>
  </si>
  <si>
    <t>65608-FRWA03</t>
  </si>
  <si>
    <t>DENY DESIGNS</t>
  </si>
  <si>
    <t>641393158406</t>
  </si>
  <si>
    <t>Design Art Designart Geode Slice Macro Ab Blue</t>
  </si>
  <si>
    <t>PT8834-32-16</t>
  </si>
  <si>
    <t>DESIGNART</t>
  </si>
  <si>
    <t>635452125119</t>
  </si>
  <si>
    <t>Artland Luster Blue Iridescent No Size</t>
  </si>
  <si>
    <t>12511B</t>
  </si>
  <si>
    <t>ARTLAND INC</t>
  </si>
  <si>
    <t>49182992604</t>
  </si>
  <si>
    <t>Stupell Industries Stupell Industries Cant Touch Multi</t>
  </si>
  <si>
    <t>KWP-1093 FR 16X20</t>
  </si>
  <si>
    <t>MDF WOOD</t>
  </si>
  <si>
    <t>694546139463</t>
  </si>
  <si>
    <t>Cathys Concepts Personalized Gourmet 5-Pc. Che C No Size</t>
  </si>
  <si>
    <t>2200-C</t>
  </si>
  <si>
    <t>CATHYS CONCEPTS INC</t>
  </si>
  <si>
    <t>RUBBERWOOD; UTENSILS: RUBBERWOOD/STAINLESS STEEL</t>
  </si>
  <si>
    <t>720201260163</t>
  </si>
  <si>
    <t>DRAFT - delete Clear</t>
  </si>
  <si>
    <t>641265011099</t>
  </si>
  <si>
    <t>Mikasa French Countryside Cereal Bowl</t>
  </si>
  <si>
    <t>F9000-421</t>
  </si>
  <si>
    <t>4003686230903</t>
  </si>
  <si>
    <t>Villeroy Boch Villeroy Boch Purismo Specia Clear No Size</t>
  </si>
  <si>
    <t>790824585110</t>
  </si>
  <si>
    <t>Michael Aram Michael Aram Clover Catch All</t>
  </si>
  <si>
    <t>NICKEL PLATE &amp; GOLD PLATE</t>
  </si>
  <si>
    <t>88235734501</t>
  </si>
  <si>
    <t>Jay Imports MARBLE WHBK SET OF 3 PLANTERS White And Black</t>
  </si>
  <si>
    <t>1184211-M</t>
  </si>
  <si>
    <t>795785513752</t>
  </si>
  <si>
    <t>Thirstystone Chalet Wood Serving Tray with Red</t>
  </si>
  <si>
    <t>NQU57-MCY</t>
  </si>
  <si>
    <t>RED</t>
  </si>
  <si>
    <t>88235734556</t>
  </si>
  <si>
    <t>Jay Imports LINED CERAMIC PLANTER WITH LEG White</t>
  </si>
  <si>
    <t>1185237-M</t>
  </si>
  <si>
    <t>795785218589</t>
  </si>
  <si>
    <t>Thirstystone Urban Farm Wood Iron Serving</t>
  </si>
  <si>
    <t>N301</t>
  </si>
  <si>
    <t>608356775605</t>
  </si>
  <si>
    <t>Hotel Collection Modern Marble Serving Board wi Marble</t>
  </si>
  <si>
    <t>HTLRCTMBBD</t>
  </si>
  <si>
    <t>CHEESE BRD</t>
  </si>
  <si>
    <t>MARBLE/STEEL</t>
  </si>
  <si>
    <t>5011655007462</t>
  </si>
  <si>
    <t>Graham Brown Linen Paintable Wallpaper White</t>
  </si>
  <si>
    <t>PAPER</t>
  </si>
  <si>
    <t>720201256166</t>
  </si>
  <si>
    <t>Lorren Home Trends delete Clear</t>
  </si>
  <si>
    <t>28295456401</t>
  </si>
  <si>
    <t>Umbra Umbra Prisma Multi Picture Fra Copper</t>
  </si>
  <si>
    <t>313019-880</t>
  </si>
  <si>
    <t>RUSTCOPPER</t>
  </si>
  <si>
    <t>740102234209</t>
  </si>
  <si>
    <t>Classic Touch Footed Serving Bowl With 24K G Gold</t>
  </si>
  <si>
    <t>CBG310</t>
  </si>
  <si>
    <t>CLASSIC TOUCH INC</t>
  </si>
  <si>
    <t>GLASS AND GOLD</t>
  </si>
  <si>
    <t>35886060077</t>
  </si>
  <si>
    <t>Zwilling Zwilling J.A. Henckels 12-Slot Wood</t>
  </si>
  <si>
    <t>35160-000</t>
  </si>
  <si>
    <t>BEECHWOOD</t>
  </si>
  <si>
    <t>28588032169</t>
  </si>
  <si>
    <t>Oenophilia Oenophilia Porto Decanter Set</t>
  </si>
  <si>
    <t>OENOPHILIA INC</t>
  </si>
  <si>
    <t>672275074712</t>
  </si>
  <si>
    <t>Nambe Fjord 5-Piece Place Setting</t>
  </si>
  <si>
    <t>NAMBE MILLS INC (622/209)</t>
  </si>
  <si>
    <t>4003686305731</t>
  </si>
  <si>
    <t>PIZZA PLATE GMA SLC 2/S</t>
  </si>
  <si>
    <t>SPECIAL CHINA</t>
  </si>
  <si>
    <t>VILLEROY &amp; BOCH CONSIGN ORD</t>
  </si>
  <si>
    <t>PREMIUM PORCELAIN</t>
  </si>
  <si>
    <t>795785578256</t>
  </si>
  <si>
    <t>Thirstystone None White</t>
  </si>
  <si>
    <t>N3328-MCY</t>
  </si>
  <si>
    <t>28225238251</t>
  </si>
  <si>
    <t>Drew Jonathan Home Drew Jonathan Home Acrylic D Black</t>
  </si>
  <si>
    <t>28225238268</t>
  </si>
  <si>
    <t>Drew Jonathan Home Drew Jonathan Home Acrylic B White and Black</t>
  </si>
  <si>
    <t>20911078813</t>
  </si>
  <si>
    <t>Mikasa French Country Vegetable Bowl</t>
  </si>
  <si>
    <t>F9000-750</t>
  </si>
  <si>
    <t>MOVLVEGBWL</t>
  </si>
  <si>
    <t>723958100270</t>
  </si>
  <si>
    <t>In This Space In This Space Twill Hard-shell Grey</t>
  </si>
  <si>
    <t>FS10013</t>
  </si>
  <si>
    <t>KTW PRODUCTS INC</t>
  </si>
  <si>
    <t>SHELL: POLYESTER/COTTON; LINER: NON-WOVEN FABRIC</t>
  </si>
  <si>
    <t>28199254448</t>
  </si>
  <si>
    <t>Godinger Godinger Dublin Gold Goblets, ClearGold</t>
  </si>
  <si>
    <t>LEAD CRYSTAL</t>
  </si>
  <si>
    <t>882864458469</t>
  </si>
  <si>
    <t>Lenox Lenox Belle Haven Dinner Plate no color</t>
  </si>
  <si>
    <t>L840745</t>
  </si>
  <si>
    <t>722885423469</t>
  </si>
  <si>
    <t>Homewear Hudson Fine China Storage Set 0</t>
  </si>
  <si>
    <t>STOR001-499</t>
  </si>
  <si>
    <t>SAM HEDAYA CORP</t>
  </si>
  <si>
    <t>QUILTED POLYESTER</t>
  </si>
  <si>
    <t>795785419955</t>
  </si>
  <si>
    <t>Thirstystone Stars Marble Wood Cheese Boa White No Size</t>
  </si>
  <si>
    <t>NM801-MCY</t>
  </si>
  <si>
    <t>88235734464</t>
  </si>
  <si>
    <t>Jay Imports WHITE CERAMIC PLANTER WITH GOL White</t>
  </si>
  <si>
    <t>1185229-M</t>
  </si>
  <si>
    <t>28199827604</t>
  </si>
  <si>
    <t>DRAFT - Godinger Ice Bucket Ow Charcoal</t>
  </si>
  <si>
    <t>28199256589</t>
  </si>
  <si>
    <t>Godinger Dublin 4 in 1 Cake Plate Clear No Size</t>
  </si>
  <si>
    <t>CAKEPLATTE</t>
  </si>
  <si>
    <t>722885423476</t>
  </si>
  <si>
    <t>STOR001-899</t>
  </si>
  <si>
    <t>722885410605</t>
  </si>
  <si>
    <t>Homewear Hudson Fine China Storage Set</t>
  </si>
  <si>
    <t>STOR001-099</t>
  </si>
  <si>
    <t>37725009537</t>
  </si>
  <si>
    <t>Noritake Spectrum Salt Pepper, 3-14 Silver</t>
  </si>
  <si>
    <t>2983-434</t>
  </si>
  <si>
    <t>WHITE PORCELAIN</t>
  </si>
  <si>
    <t>882864819178</t>
  </si>
  <si>
    <t>Kate Spade Measuring Cups Gold No Size</t>
  </si>
  <si>
    <t>L885600</t>
  </si>
  <si>
    <t>28199260821</t>
  </si>
  <si>
    <t>DRAFT - Godinger Bling Highbal Silver No Size</t>
  </si>
  <si>
    <t>CRYSTAL GLASS</t>
  </si>
  <si>
    <t>28199278024</t>
  </si>
  <si>
    <t>Godinger Remington Martini Set Clear</t>
  </si>
  <si>
    <t>191453162114</t>
  </si>
  <si>
    <t>LITTLE STAR:ORNAMENT</t>
  </si>
  <si>
    <t>MADE IN VIETNAM</t>
  </si>
  <si>
    <t>86279088949</t>
  </si>
  <si>
    <t>Cuisinart Advantage 12-Pc. Printed Col Multi</t>
  </si>
  <si>
    <t>C55-12PR2</t>
  </si>
  <si>
    <t>37725591001</t>
  </si>
  <si>
    <t>Noritake Hammock 4-Pc. Assorted Mug Set Blue</t>
  </si>
  <si>
    <t>9349-484E</t>
  </si>
  <si>
    <t>49182996121</t>
  </si>
  <si>
    <t>Stupell Industries Stupell Industries Plank City Multi</t>
  </si>
  <si>
    <t>CW-1385 CN 10X24</t>
  </si>
  <si>
    <t>91709396204</t>
  </si>
  <si>
    <t>Lenox Federal Gold Accent Plate</t>
  </si>
  <si>
    <t>L6111918</t>
  </si>
  <si>
    <t>SALADPLATE</t>
  </si>
  <si>
    <t>32677985205</t>
  </si>
  <si>
    <t>Vera Wang Wedgwood Lace Gold Salad Plate</t>
  </si>
  <si>
    <t>32675984958</t>
  </si>
  <si>
    <t>Wedgwood Signet Platinum Rim Soup Bow</t>
  </si>
  <si>
    <t>RIMSOUPPLT</t>
  </si>
  <si>
    <t>28199273081</t>
  </si>
  <si>
    <t>Godinger Godinger Wine Carafe Set with Clear</t>
  </si>
  <si>
    <t>885991186687</t>
  </si>
  <si>
    <t>Mikasa Mikasa Avalon Blue 14oz Goblet Periwinkle Blue No Size</t>
  </si>
  <si>
    <t>726895109542</t>
  </si>
  <si>
    <t>Martha Stewart Collection Linen 8 x 10 Frame No Color</t>
  </si>
  <si>
    <t>MSCLIN810</t>
  </si>
  <si>
    <t>MMG-MARTHA STEWART COLLECTION</t>
  </si>
  <si>
    <t>LINEN/STEEL</t>
  </si>
  <si>
    <t>768549765469</t>
  </si>
  <si>
    <t>NO C CHRISTMAS ORNAMENT H</t>
  </si>
  <si>
    <t>85081541512</t>
  </si>
  <si>
    <t>Laurie Gates Laurie Gates Tierra Hand-Paint Multi-Colored</t>
  </si>
  <si>
    <t>13097003RR</t>
  </si>
  <si>
    <t>28295453158</t>
  </si>
  <si>
    <t>Umbra Flip 5-Hook Wall Rack BlackWalnut</t>
  </si>
  <si>
    <t>318850-048</t>
  </si>
  <si>
    <t>WOOD/CAST ZINC</t>
  </si>
  <si>
    <t>842730139700</t>
  </si>
  <si>
    <t>Courtside Market Courtside Market Blue Bouquet Multi</t>
  </si>
  <si>
    <t>WEBBN24716X16</t>
  </si>
  <si>
    <t>COURTSIDE MARKET LLC</t>
  </si>
  <si>
    <t>CANVAS AND WOOD</t>
  </si>
  <si>
    <t>814803025142</t>
  </si>
  <si>
    <t>Riedel O Monogram Collection Crystal C</t>
  </si>
  <si>
    <t>MAC-2748-990-2 C</t>
  </si>
  <si>
    <t>MACHINE-BLOWN CRYSTAL</t>
  </si>
  <si>
    <t>786460071407</t>
  </si>
  <si>
    <t>Home Essentials SET THREE CANDLESTICKS Gold</t>
  </si>
  <si>
    <t>HOME ESSENTIALS &amp; BEYOND</t>
  </si>
  <si>
    <t>194590046088</t>
  </si>
  <si>
    <t>Villeroy Boch Toys Delight Fabric Placemats Multi 13x19</t>
  </si>
  <si>
    <t>VILLEROY &amp; BOCH/ELRENE HOME FASHN</t>
  </si>
  <si>
    <t>795785231656</t>
  </si>
  <si>
    <t>Thirstystone Marble Wood Map Board Natural</t>
  </si>
  <si>
    <t>NMKA2023</t>
  </si>
  <si>
    <t>MARBLE/ACACIA WOOD</t>
  </si>
  <si>
    <t>88235402219</t>
  </si>
  <si>
    <t>Jay Imports BLUE Gold No Size</t>
  </si>
  <si>
    <t>229707-4ST</t>
  </si>
  <si>
    <t>JAY IMPORT COMPANY INC</t>
  </si>
  <si>
    <t>732997284513</t>
  </si>
  <si>
    <t>Hotel Collection Metal Gold Charger, Set of 4</t>
  </si>
  <si>
    <t>MILD STEEL</t>
  </si>
  <si>
    <t>805319700739</t>
  </si>
  <si>
    <t>Top Chef 4-Pc. Dynasty Steak Knife Set</t>
  </si>
  <si>
    <t>TC-27</t>
  </si>
  <si>
    <t>TOP CHEF/MASTER CUTLERY INC</t>
  </si>
  <si>
    <t>28199194867</t>
  </si>
  <si>
    <t>Godinger 2-Pc. Tall Metal Candlestick S Gold</t>
  </si>
  <si>
    <t>732998498759</t>
  </si>
  <si>
    <t>Hotel Collection Black Gold Pitcher Black</t>
  </si>
  <si>
    <t>28199976036</t>
  </si>
  <si>
    <t>Godinger Revere Serving Tray with 3 Bow Silver No Size</t>
  </si>
  <si>
    <t>885991171294</t>
  </si>
  <si>
    <t>Mikasa Italian Countryside Blue 4-Pc. Blue Group</t>
  </si>
  <si>
    <t>FRUITDISH</t>
  </si>
  <si>
    <t>28199116012</t>
  </si>
  <si>
    <t>Godinger Godinger Round Wood Handeled T Brown</t>
  </si>
  <si>
    <t>5450523001100</t>
  </si>
  <si>
    <t>Villeroy Boch Villeroy Boch La Coupole 3 P Stainless</t>
  </si>
  <si>
    <t>3PCSERVSET</t>
  </si>
  <si>
    <t>DRAFT - Godinger Revere Servin Silver No Size</t>
  </si>
  <si>
    <t>91574153438</t>
  </si>
  <si>
    <t>Wedgwood English Lace Appetizer Plate</t>
  </si>
  <si>
    <t>5C106201008</t>
  </si>
  <si>
    <t>91709353115</t>
  </si>
  <si>
    <t>Lenox Butterfly Meadow Sugar Bowl</t>
  </si>
  <si>
    <t>L6083984</t>
  </si>
  <si>
    <t>5060285600314</t>
  </si>
  <si>
    <t>MAGWARE FLATWARE SNG</t>
  </si>
  <si>
    <t>MAG-SS-GRN</t>
  </si>
  <si>
    <t>GREEN</t>
  </si>
  <si>
    <t>BLM ONLY</t>
  </si>
  <si>
    <t>FULL WINDSOR LLC</t>
  </si>
  <si>
    <t>FLATWARE: ALUMINUM; POUCH: 100% RECYCLED PLASTIC BOTTLES</t>
  </si>
  <si>
    <t>701587394024</t>
  </si>
  <si>
    <t>Vera Wang Wedgwood Jardin Salad Plate White</t>
  </si>
  <si>
    <t>FINE BONE CHINA</t>
  </si>
  <si>
    <t>795785418750</t>
  </si>
  <si>
    <t>Thirstystone Wood Enamel Bowl Medium Brown No Size</t>
  </si>
  <si>
    <t>N2938-MCY</t>
  </si>
  <si>
    <t>MED BROWN</t>
  </si>
  <si>
    <t>733004920448</t>
  </si>
  <si>
    <t>Martha Stewart Collection Valentines Day Pink Magnolia Multi</t>
  </si>
  <si>
    <t>MMG-MARTHA STEWART</t>
  </si>
  <si>
    <t>24258287310</t>
  </si>
  <si>
    <t>Marquis by Waterford Marquis by Waterford Caprice W</t>
  </si>
  <si>
    <t>107263M</t>
  </si>
  <si>
    <t>733652156749</t>
  </si>
  <si>
    <t>Hampton Forge Refined Copper 5-Piece Place S Copper</t>
  </si>
  <si>
    <t>SFB31C05SK</t>
  </si>
  <si>
    <t>HAMPTON FORGE/LENOX CORP</t>
  </si>
  <si>
    <t>18/0 COPPER TITANIUM PLATED</t>
  </si>
  <si>
    <t>4003686392571</t>
  </si>
  <si>
    <t>NOSTALGIC ORNAMENTS</t>
  </si>
  <si>
    <t>2X2 SGL</t>
  </si>
  <si>
    <t>85081471796</t>
  </si>
  <si>
    <t>Cravings by Chrissy Teigen Wood Serving Board with metal Wood With Gold No Size</t>
  </si>
  <si>
    <t>PROMO SERVE/GIBSON OVERSEAS INC</t>
  </si>
  <si>
    <t>MANGO WOOD, METAL</t>
  </si>
  <si>
    <t>806644729198</t>
  </si>
  <si>
    <t>JAPONICA 3 MACARON GIFTS</t>
  </si>
  <si>
    <t>COCOWAXâ„¢; VESSELS: GLASS</t>
  </si>
  <si>
    <t>842750118273</t>
  </si>
  <si>
    <t>BABY BOY GENDER REVEAL</t>
  </si>
  <si>
    <t>HSCA1-BBY-BOY-WH01</t>
  </si>
  <si>
    <t>HOMESICK BVG LLC</t>
  </si>
  <si>
    <t>SOY WAX; WICK: COTTON; HOLDER: GLASS</t>
  </si>
  <si>
    <t>5450102344956</t>
  </si>
  <si>
    <t>Villeroy Boch French Garden After-Dinner Cup Fleurence</t>
  </si>
  <si>
    <t>795785581058</t>
  </si>
  <si>
    <t>Thirstystone Wood Serving Board with Marble Brown</t>
  </si>
  <si>
    <t>N3345-MCY</t>
  </si>
  <si>
    <t>24766242139</t>
  </si>
  <si>
    <t>Culver Culver Glassware, S2 Monogram M</t>
  </si>
  <si>
    <t>018M-426E-2</t>
  </si>
  <si>
    <t>CULVER GLASSWARE</t>
  </si>
  <si>
    <t>28199254387</t>
  </si>
  <si>
    <t>Godinger Set of 4 Godinger Dublin Plati</t>
  </si>
  <si>
    <t>28199976067</t>
  </si>
  <si>
    <t>DRAFT - Godinger 8 Revere Bow Silver No Size</t>
  </si>
  <si>
    <t>822919723524</t>
  </si>
  <si>
    <t>Simply Designz Organic Rectangular Tray Red</t>
  </si>
  <si>
    <t>SIMPLYDESIGNZ LLC</t>
  </si>
  <si>
    <t>ALUMINUM WITH ENAMEL INLAY</t>
  </si>
  <si>
    <t>882864583406</t>
  </si>
  <si>
    <t>Kate Spade All in Good Taste Little Bit o No Color</t>
  </si>
  <si>
    <t>L857007</t>
  </si>
  <si>
    <t>SMLCANISTE</t>
  </si>
  <si>
    <t>GLASS WITH WOODEN LID</t>
  </si>
  <si>
    <t>885991061229</t>
  </si>
  <si>
    <t>Mikasa Platinum Crown 2-Piece Serving</t>
  </si>
  <si>
    <t>2PCSERVSET</t>
  </si>
  <si>
    <t>882864826589</t>
  </si>
  <si>
    <t>Kate Spade Glass Storage, Rectangular S2 Silver No Size</t>
  </si>
  <si>
    <t>L886550</t>
  </si>
  <si>
    <t>GLASS, PLASTIC</t>
  </si>
  <si>
    <t>715844753127</t>
  </si>
  <si>
    <t>JH Specialties IncLumabase Lumabase Set of 12 White Extra White</t>
  </si>
  <si>
    <t>LUMABASE/JH SPECIALTIES INC</t>
  </si>
  <si>
    <t>WAX</t>
  </si>
  <si>
    <t>194372004329</t>
  </si>
  <si>
    <t>Lenox None Coral</t>
  </si>
  <si>
    <t>L891446</t>
  </si>
  <si>
    <t>MED ORANGE</t>
  </si>
  <si>
    <t>88235734488</t>
  </si>
  <si>
    <t>Jay Imports CAGED CERAMIC PLANTER WITH MET White</t>
  </si>
  <si>
    <t>1185231-M</t>
  </si>
  <si>
    <t>790824400017</t>
  </si>
  <si>
    <t>Michael Aram Black Orchid Dinner Plate</t>
  </si>
  <si>
    <t>LIMOGES PORCELAIN</t>
  </si>
  <si>
    <t>795785124255</t>
  </si>
  <si>
    <t>Thirstystone Ceramic Serving Tray White</t>
  </si>
  <si>
    <t>N2645-MCY</t>
  </si>
  <si>
    <t>882864797971</t>
  </si>
  <si>
    <t>kate spade new york kate spade new York Cannon Str Cream Wspeckled Glaze</t>
  </si>
  <si>
    <t>L883040</t>
  </si>
  <si>
    <t>88235462756</t>
  </si>
  <si>
    <t>The Cellar 2-Pc. Lidded Infuser Drink Dis</t>
  </si>
  <si>
    <t>DISPINFUSE</t>
  </si>
  <si>
    <t>THE CELLAR-MMG</t>
  </si>
  <si>
    <t>GLASS/METAL/PLASTIC</t>
  </si>
  <si>
    <t>795785418958</t>
  </si>
  <si>
    <t>Thirstystone Galvanized Wire Basket Server White No Size</t>
  </si>
  <si>
    <t>N2940-MCY</t>
  </si>
  <si>
    <t>86569872265</t>
  </si>
  <si>
    <t>JLA Home Gemstone Tiles 2-Pc. Deco Box Blue</t>
  </si>
  <si>
    <t>ID95A-0022</t>
  </si>
  <si>
    <t>NATORI/JLA HOME/E &amp; E CO LTD</t>
  </si>
  <si>
    <t>MDF MEDIUM DENSITY FIBERBOARD/POLYSTYRENE/PAPER/GEL COAT</t>
  </si>
  <si>
    <t>615715301139</t>
  </si>
  <si>
    <t>Lorren Home Trends Lorren Home Trends 8 Piece 8oz Blue ONE SIZE</t>
  </si>
  <si>
    <t>MIDNIGHT-4</t>
  </si>
  <si>
    <t>85081371089</t>
  </si>
  <si>
    <t>Gibson Gray Marble Rectangular Servin Graywood</t>
  </si>
  <si>
    <t>MARBLE, WOOD</t>
  </si>
  <si>
    <t>795785448450</t>
  </si>
  <si>
    <t>N2967</t>
  </si>
  <si>
    <t>795785580259</t>
  </si>
  <si>
    <t>Thirstystone Set of 4 Cherry Marble Coaster Dark Brown</t>
  </si>
  <si>
    <t>NM893-MCY</t>
  </si>
  <si>
    <t>45987217270</t>
  </si>
  <si>
    <t>Philip Whitney White Rose Large Photo Album No Color No Size</t>
  </si>
  <si>
    <t>PHILIP WHITNEY LTD</t>
  </si>
  <si>
    <t>806644681113</t>
  </si>
  <si>
    <t>SPARKING ROSE CORTA BASIC</t>
  </si>
  <si>
    <t>GLASS; COCONUT WAX</t>
  </si>
  <si>
    <t>795785463057</t>
  </si>
  <si>
    <t>Thirstystone Thirstystone Small Oval Marble Grey</t>
  </si>
  <si>
    <t>NM804-MCY</t>
  </si>
  <si>
    <t>766360111977</t>
  </si>
  <si>
    <t>The Cellar Serveware, Acacia Wood Lazy Su BROWN</t>
  </si>
  <si>
    <t>LAZYSUSAN</t>
  </si>
  <si>
    <t>MMG-THE CELLAR</t>
  </si>
  <si>
    <t>ACACIA WOOD/PORCELAIN</t>
  </si>
  <si>
    <t>733004967665</t>
  </si>
  <si>
    <t>Martha Stewart Collection Hello Sunshine Oval Platter Multi</t>
  </si>
  <si>
    <t>840028716923</t>
  </si>
  <si>
    <t>Art Cook 25-Pc. Cutlery Set Multi</t>
  </si>
  <si>
    <t>MDS2291</t>
  </si>
  <si>
    <t>ART AND COOK INC</t>
  </si>
  <si>
    <t>806644072645</t>
  </si>
  <si>
    <t>FC &amp; L CHAWAN BWL</t>
  </si>
  <si>
    <t>844296075867</t>
  </si>
  <si>
    <t>Trademark Global 3-Pc. Mini Table Top Foosball Brown</t>
  </si>
  <si>
    <t>15-3150</t>
  </si>
  <si>
    <t>PLASTIC</t>
  </si>
  <si>
    <t>615715301238</t>
  </si>
  <si>
    <t>Lorren Home Trends Lorren Home Espresso Service, Silver-Tone</t>
  </si>
  <si>
    <t>SIRENA-6</t>
  </si>
  <si>
    <t>47596142400</t>
  </si>
  <si>
    <t>Lenox Opal Innocence Corded Runner White 90</t>
  </si>
  <si>
    <t>LENOX/ARLEE HOME FASHIONS INC</t>
  </si>
  <si>
    <t>COTTON/POLYESTER</t>
  </si>
  <si>
    <t>786460238961</t>
  </si>
  <si>
    <t>Home Essentials Home Essentials Print Vase, 15 Blue</t>
  </si>
  <si>
    <t>MED BLUE</t>
  </si>
  <si>
    <t>615715161429</t>
  </si>
  <si>
    <t>Lorren Home Trends Lorren Home Trends Floral Desi Purple ONE SIZE</t>
  </si>
  <si>
    <t>80-2020</t>
  </si>
  <si>
    <t>PURPLE</t>
  </si>
  <si>
    <t>615715161405</t>
  </si>
  <si>
    <t>Lorren Home Trends Lorren Home Trends Floral Desi Red ONE SIZE</t>
  </si>
  <si>
    <t>80-1234</t>
  </si>
  <si>
    <t>MEDIUM RED</t>
  </si>
  <si>
    <t>795785578157</t>
  </si>
  <si>
    <t>N3327-MCY</t>
  </si>
  <si>
    <t>85081471703</t>
  </si>
  <si>
    <t>Cravings by Chrissy Teigen Set of 4- 15 oz. Double Old Fa Clear No Size</t>
  </si>
  <si>
    <t>615715301177</t>
  </si>
  <si>
    <t>Lorren Home Trends Lorren Home Trends 12 Piece 2o Silver-Tone ONE SIZE</t>
  </si>
  <si>
    <t>JULIETTE-6</t>
  </si>
  <si>
    <t>88235531346</t>
  </si>
  <si>
    <t>American Atelier Jay Import American Atelier Go Gold</t>
  </si>
  <si>
    <t>1180256-G-4</t>
  </si>
  <si>
    <t>CHARGER</t>
  </si>
  <si>
    <t>MELAMINE</t>
  </si>
  <si>
    <t>615715301184</t>
  </si>
  <si>
    <t>Lorren Home Trends Lorren Home Trends 12 Piece 2o Blue ONE SIZE</t>
  </si>
  <si>
    <t>MIDNIGHT-6</t>
  </si>
  <si>
    <t>615715835597</t>
  </si>
  <si>
    <t>Lorren Home Trends Lorren Home Trends Floral Desi Silver ONE SIZE</t>
  </si>
  <si>
    <t>VIOLA-6</t>
  </si>
  <si>
    <t>615715835603</t>
  </si>
  <si>
    <t>Lorren Home Trends Lorren Home Trends Floral Desi Pink ONE SIZE</t>
  </si>
  <si>
    <t>SOPHIE-6</t>
  </si>
  <si>
    <t>MED PINK</t>
  </si>
  <si>
    <t>615715835580</t>
  </si>
  <si>
    <t>Lorren Home Trends Lorren Home Trends Trends Flor Gold ONE SIZE</t>
  </si>
  <si>
    <t>ROSALIA-6</t>
  </si>
  <si>
    <t>28199258675</t>
  </si>
  <si>
    <t>Godinger Dublin Whiskey Decanter No Color</t>
  </si>
  <si>
    <t>DECANTER</t>
  </si>
  <si>
    <t>28199977019</t>
  </si>
  <si>
    <t>Godinger Godinger Sunburst Copper 9 bo Copper</t>
  </si>
  <si>
    <t>COPPER</t>
  </si>
  <si>
    <t>615715301191</t>
  </si>
  <si>
    <t>Lorren Home Trends Lorren Home Trends 12 Piece 2o Black ONE SIZE</t>
  </si>
  <si>
    <t>DOMINO-6</t>
  </si>
  <si>
    <t>28199270080</t>
  </si>
  <si>
    <t>Godinger Godinger Claro Pitcher Clear</t>
  </si>
  <si>
    <t>NO SPEC</t>
  </si>
  <si>
    <t>88235734495</t>
  </si>
  <si>
    <t>Jay Imports GOLD TEXTURED VASE Gold</t>
  </si>
  <si>
    <t>1185232-M</t>
  </si>
  <si>
    <t>28199157466</t>
  </si>
  <si>
    <t>Godinger Set of 2 Lotus Candlesticks</t>
  </si>
  <si>
    <t>806644723110</t>
  </si>
  <si>
    <t>JAP PERS &amp; COP LG GLASS</t>
  </si>
  <si>
    <t>47596562611</t>
  </si>
  <si>
    <t>Bardwil Continental Collection 60 X 1 Taupe</t>
  </si>
  <si>
    <t>2262102OBLTAU</t>
  </si>
  <si>
    <t>MED BEIGE</t>
  </si>
  <si>
    <t>BARDWIL INDUSTRIES</t>
  </si>
  <si>
    <t>POLYESTER</t>
  </si>
  <si>
    <t>615715161320</t>
  </si>
  <si>
    <t>Lorren Home Trends Lorren Home Trends Set of 6 Es Classic Bean No Size</t>
  </si>
  <si>
    <t>80-120</t>
  </si>
  <si>
    <t>732997661116</t>
  </si>
  <si>
    <t>Hotel Collection Modern Marble-Look 9 Vegetabl White</t>
  </si>
  <si>
    <t>790824400116</t>
  </si>
  <si>
    <t>Michael Aram Black Orchid Salad Plate</t>
  </si>
  <si>
    <t>795785334456</t>
  </si>
  <si>
    <t>Thirstystone Nasty Woman Coaster White No Size</t>
  </si>
  <si>
    <t>FS-10067</t>
  </si>
  <si>
    <t>GYPSUM, CORK</t>
  </si>
  <si>
    <t>790824581655</t>
  </si>
  <si>
    <t>Michael Aram Picture Frame, Gotham 5 x 7</t>
  </si>
  <si>
    <t>5X7 SINGLE</t>
  </si>
  <si>
    <t>BLACK NICKEL PLATE</t>
  </si>
  <si>
    <t>795785628807</t>
  </si>
  <si>
    <t>Thirstystone BBQ Serveware Collection Beer Brown No Size</t>
  </si>
  <si>
    <t>N9326</t>
  </si>
  <si>
    <t>ACACIA WOOD/GALVANIZED IRON/CAST IRON</t>
  </si>
  <si>
    <t>733004802942</t>
  </si>
  <si>
    <t>Martha Stewart Collection Marble Heart Cutting Board</t>
  </si>
  <si>
    <t>MARTHA STEWART</t>
  </si>
  <si>
    <t>45987226043</t>
  </si>
  <si>
    <t>Philip Whitney Philip Whitney Silver Polish W Silver</t>
  </si>
  <si>
    <t>795785581652</t>
  </si>
  <si>
    <t>Thirstystone Metal Leaf Bottle Stoppers, Se Silver</t>
  </si>
  <si>
    <t>N3349-MCY</t>
  </si>
  <si>
    <t>795785580754</t>
  </si>
  <si>
    <t>Thirstystone Marble-Look Cheese Fork, Knife Dark Brown</t>
  </si>
  <si>
    <t>N3342-MCY</t>
  </si>
  <si>
    <t>787812001073</t>
  </si>
  <si>
    <t>Artifacts Trading Company Artifacts Rattan 6-Piece Oval Honey Brown No Size</t>
  </si>
  <si>
    <t>ATC-BS771</t>
  </si>
  <si>
    <t>OLYMPIA INTERNATIONAL LLC</t>
  </si>
  <si>
    <t>RATTAN</t>
  </si>
  <si>
    <t>719978821660</t>
  </si>
  <si>
    <t>Macys Black Nickel Faceted Cocktail Black No Size</t>
  </si>
  <si>
    <t>9391HKT</t>
  </si>
  <si>
    <t>FIESTA/LENOX BRANDS</t>
  </si>
  <si>
    <t>NICKEL-PLATED STAINLESS STEEL</t>
  </si>
  <si>
    <t>28588032107</t>
  </si>
  <si>
    <t>Oenophilia Oenophilia Porto Sippers, Set</t>
  </si>
  <si>
    <t>301652947584</t>
  </si>
  <si>
    <t>Envelor Envelor Ryan Concrete Planter Silver No Size</t>
  </si>
  <si>
    <t>EN-MF2193S</t>
  </si>
  <si>
    <t>ENVELOR CORPORATION</t>
  </si>
  <si>
    <t>883314726039</t>
  </si>
  <si>
    <t>Luminarc Luminarc Everyday All Purpose Clear</t>
  </si>
  <si>
    <t>P1877</t>
  </si>
  <si>
    <t>DINNRWR/CRMIC</t>
  </si>
  <si>
    <t>ARC INTERNATIONAL NORTH AMERICA</t>
  </si>
  <si>
    <t>MADE IN FRANCE</t>
  </si>
  <si>
    <t>OPAL</t>
  </si>
  <si>
    <t>91212542891</t>
  </si>
  <si>
    <t>Brewster Home Fashions Life Is Beautiful Wall Quote</t>
  </si>
  <si>
    <t>WPQ96853</t>
  </si>
  <si>
    <t>886511815537</t>
  </si>
  <si>
    <t>Trademark Global 4-Pc. Color Changing Flameless Assorted No Size</t>
  </si>
  <si>
    <t>72-0030C</t>
  </si>
  <si>
    <t>WAX/PLASTIC</t>
  </si>
  <si>
    <t>732997092125</t>
  </si>
  <si>
    <t>Lucky Brand Lucky Brand Black Texture Sala No Color</t>
  </si>
  <si>
    <t>LUCKY BRAND-MMG/WELLBEST IND LTD</t>
  </si>
  <si>
    <t>885991108214</t>
  </si>
  <si>
    <t>Mikasa Savona Collection Porcelain Gr Grey Group</t>
  </si>
  <si>
    <t>MED GRAY</t>
  </si>
  <si>
    <t>32677684313</t>
  </si>
  <si>
    <t>Vera Wang Wedgwood Vera Wang Grosgrain Tea Sauc</t>
  </si>
  <si>
    <t>SAUCER</t>
  </si>
  <si>
    <t>882864667717</t>
  </si>
  <si>
    <t>kate spade new york Charlotte Street East Grey Col White</t>
  </si>
  <si>
    <t>L867925</t>
  </si>
  <si>
    <t>SOUP BOWL</t>
  </si>
  <si>
    <t>91709419088</t>
  </si>
  <si>
    <t>Lenox Pearl Innocence Tea Saucer</t>
  </si>
  <si>
    <t>L6134332</t>
  </si>
  <si>
    <t>91709419040</t>
  </si>
  <si>
    <t>Lenox Pearl Innocence Appetizer Plat</t>
  </si>
  <si>
    <t>L6134316</t>
  </si>
  <si>
    <t>BUTTERPLAT</t>
  </si>
  <si>
    <t>28225242999</t>
  </si>
  <si>
    <t>Drew Jonathan Home Drew Jonathan Home Stacking Pink</t>
  </si>
  <si>
    <t>719978838651</t>
  </si>
  <si>
    <t>Thirstystone 2 PACK OF 20 OZ FACETED BLACK Black</t>
  </si>
  <si>
    <t>9396CPTR12BM</t>
  </si>
  <si>
    <t>MUG</t>
  </si>
  <si>
    <t>FIESTA/CAMBRIDGE SILVER (687/236)</t>
  </si>
  <si>
    <t>733004815409</t>
  </si>
  <si>
    <t>Martha Stewart Collection Heart Salad Serve Bowl</t>
  </si>
  <si>
    <t>762120264891</t>
  </si>
  <si>
    <t>Martha Stewart Collection Easter Lantern without LED Can White</t>
  </si>
  <si>
    <t>882864769732</t>
  </si>
  <si>
    <t>kate spade new york Charles Lane Dinner Plate, a Camel</t>
  </si>
  <si>
    <t>L879701</t>
  </si>
  <si>
    <t>37725584805</t>
  </si>
  <si>
    <t>Noritake Colorwave Graphite Square Dinn Slate</t>
  </si>
  <si>
    <t>5107-586</t>
  </si>
  <si>
    <t>37725565316</t>
  </si>
  <si>
    <t>Noritake Colorwave Graphite Square Dinn Apple</t>
  </si>
  <si>
    <t>8094-586</t>
  </si>
  <si>
    <t>LT/PAS GRN</t>
  </si>
  <si>
    <t>45987234291</t>
  </si>
  <si>
    <t>Philip Whitney Philip Whitney 5 Piece Gold Pl Gold</t>
  </si>
  <si>
    <t>28199221013</t>
  </si>
  <si>
    <t>Godinger Godinger Bracelet Flask Silver</t>
  </si>
  <si>
    <t>8004360037708</t>
  </si>
  <si>
    <t>Bormioli Rocco 4-Pc. Luna Double Old-Fashione Clear</t>
  </si>
  <si>
    <t>LUNA1</t>
  </si>
  <si>
    <t>BORMIOLI ROCCO GLASS CO</t>
  </si>
  <si>
    <t>MADE IN ITALY</t>
  </si>
  <si>
    <t>SODA-LIME GLASS</t>
  </si>
  <si>
    <t>882864770325</t>
  </si>
  <si>
    <t>kate spade new york Charles Lane Dinner Plate, a Charcoal</t>
  </si>
  <si>
    <t>L879761</t>
  </si>
  <si>
    <t>882864848222</t>
  </si>
  <si>
    <t>Kate Spade Spade Flower Trivet -STAINLESS Gold No Size</t>
  </si>
  <si>
    <t>L889177</t>
  </si>
  <si>
    <t>RND TRIVET</t>
  </si>
  <si>
    <t>37725590684</t>
  </si>
  <si>
    <t>Noritake Blue Hammock Coupe Stripes Din Khaki</t>
  </si>
  <si>
    <t>9354-406A</t>
  </si>
  <si>
    <t>BEIGEKHAKI</t>
  </si>
  <si>
    <t>885991108238</t>
  </si>
  <si>
    <t>85081369994</t>
  </si>
  <si>
    <t>The Cellar Large Wood Paddle Open Misc</t>
  </si>
  <si>
    <t>ACLGPADDLE</t>
  </si>
  <si>
    <t>ACACIA WOOD WITH PROTEGO KITCHENWARE OIL COATING; LEATHER STRAP</t>
  </si>
  <si>
    <t>810034838100</t>
  </si>
  <si>
    <t>LP LG BEVERAGE</t>
  </si>
  <si>
    <t>LPA30301</t>
  </si>
  <si>
    <t>795785418859</t>
  </si>
  <si>
    <t>Thirstystone Salad Servers Medium Brown No Size</t>
  </si>
  <si>
    <t>N2939-MCY</t>
  </si>
  <si>
    <t>733001089384</t>
  </si>
  <si>
    <t>The Cellar Holiday Cheer Nutcracker Stack Multi</t>
  </si>
  <si>
    <t>THE CELLAR/OVER &amp; BACK</t>
  </si>
  <si>
    <t>192664089702</t>
  </si>
  <si>
    <t>Trademark Global Three Tier Square Glass Buffet Silver No Size</t>
  </si>
  <si>
    <t>M031801</t>
  </si>
  <si>
    <t>STAINLESS STEEL; GLASS</t>
  </si>
  <si>
    <t>882864762481</t>
  </si>
  <si>
    <t>Lenox Market Place Dinner Plate Indigo</t>
  </si>
  <si>
    <t>L878853</t>
  </si>
  <si>
    <t>882864804167</t>
  </si>
  <si>
    <t>kate spade new york kate spade new York Sienna Lan Cream Body Wsienna Color Desi</t>
  </si>
  <si>
    <t>L883752</t>
  </si>
  <si>
    <t>882864735232</t>
  </si>
  <si>
    <t>kate spade new york Union Square Doodle Mug Multi</t>
  </si>
  <si>
    <t>L875726</t>
  </si>
  <si>
    <t>751148061742</t>
  </si>
  <si>
    <t>Lawrence Frames Discontinued Brown No Size</t>
  </si>
  <si>
    <t>LAWRENCE FRAMES/FRED M LAWRENCE CO</t>
  </si>
  <si>
    <t>795785422351</t>
  </si>
  <si>
    <t>Thirstystone Beaded Picnic Table Cloth Weig Red No Size</t>
  </si>
  <si>
    <t>N2950-MCY</t>
  </si>
  <si>
    <t>733004815416</t>
  </si>
  <si>
    <t>Martha Stewart Collection Heart Nesting Bowls, Set of 3</t>
  </si>
  <si>
    <t>885991108245</t>
  </si>
  <si>
    <t>37725592947</t>
  </si>
  <si>
    <t>Noritake Noritake Charlotta Gold Fruit Gold White</t>
  </si>
  <si>
    <t>1716-408</t>
  </si>
  <si>
    <t>719997094601</t>
  </si>
  <si>
    <t>Aromatique Aromatique Ribbed Glass Candle Evergreen</t>
  </si>
  <si>
    <t>AROMATIQUE</t>
  </si>
  <si>
    <t>786460453296</t>
  </si>
  <si>
    <t>Home Essentials Reindeer Stand Votive Candle Gold</t>
  </si>
  <si>
    <t>45987234284</t>
  </si>
  <si>
    <t>Philip Whitney Philip Whitney 5 Piece Silver Silver</t>
  </si>
  <si>
    <t>886511325562</t>
  </si>
  <si>
    <t>Trademark Global Two Tier Round Dessert Tower G Silver No Size</t>
  </si>
  <si>
    <t>82-14412</t>
  </si>
  <si>
    <t>885991108221</t>
  </si>
  <si>
    <t>810882034020</t>
  </si>
  <si>
    <t>ESSEX NAPKIN</t>
  </si>
  <si>
    <t>LB7788</t>
  </si>
  <si>
    <t>20X20</t>
  </si>
  <si>
    <t>100% COTTON</t>
  </si>
  <si>
    <t>815261025057</t>
  </si>
  <si>
    <t>HEIRLOOM LINEN FLAX</t>
  </si>
  <si>
    <t>LB5766</t>
  </si>
  <si>
    <t>MADE IN INDONESIA</t>
  </si>
  <si>
    <t>LINEN</t>
  </si>
  <si>
    <t>815261024968</t>
  </si>
  <si>
    <t>HEIRLOOM LINEN IBLUE</t>
  </si>
  <si>
    <t>LB57130</t>
  </si>
  <si>
    <t>815261025101</t>
  </si>
  <si>
    <t>HEIRLOOM LINEN DELFT</t>
  </si>
  <si>
    <t>LB5744</t>
  </si>
  <si>
    <t>810882034488</t>
  </si>
  <si>
    <t>LB8088</t>
  </si>
  <si>
    <t>810882034037</t>
  </si>
  <si>
    <t>LB7888</t>
  </si>
  <si>
    <t>667880901607</t>
  </si>
  <si>
    <t>Chilewich Basketweave Woven Vinyl Placem White</t>
  </si>
  <si>
    <t>PMAT230</t>
  </si>
  <si>
    <t>VINYL/COATED POLYESTER</t>
  </si>
  <si>
    <t>667880917721</t>
  </si>
  <si>
    <t>Chilewich Mini Basketweave Oval Placemat Sandstone</t>
  </si>
  <si>
    <t>PMAT198</t>
  </si>
  <si>
    <t>VINYL/POLYESTER</t>
  </si>
  <si>
    <t>733002954537</t>
  </si>
  <si>
    <t>The Cellar Holiday Tea For One Set Multi</t>
  </si>
  <si>
    <t>882864769787</t>
  </si>
  <si>
    <t>kate spade new york Charles Lane SoupCereal Bowl Camel</t>
  </si>
  <si>
    <t>L879706</t>
  </si>
  <si>
    <t>37725322407</t>
  </si>
  <si>
    <t>Noritake Nanshing Raspberry</t>
  </si>
  <si>
    <t>8045-772</t>
  </si>
  <si>
    <t>37725517407</t>
  </si>
  <si>
    <t>Noritake Nanshing Green</t>
  </si>
  <si>
    <t>8485-772</t>
  </si>
  <si>
    <t>37725517377</t>
  </si>
  <si>
    <t>Noritake Nanshing Blue</t>
  </si>
  <si>
    <t>8484-772</t>
  </si>
  <si>
    <t>882864770318</t>
  </si>
  <si>
    <t>kate spade new york Charles Lane Accent Plate, Charcoal</t>
  </si>
  <si>
    <t>L879760</t>
  </si>
  <si>
    <t>42648412913</t>
  </si>
  <si>
    <t>Fiesta Fiesta Medium Bistro Serving B Sage</t>
  </si>
  <si>
    <t>FIESTA TABLEWARE COMPANY (THE)</t>
  </si>
  <si>
    <t>FULLY VITRIFIED CHINA WITH LEAD-FREE GLAZE</t>
  </si>
  <si>
    <t>883314697391</t>
  </si>
  <si>
    <t>Luminarc Stemless Wine 7-Pc. Glassware Clear</t>
  </si>
  <si>
    <t>N9414</t>
  </si>
  <si>
    <t>733002965472</t>
  </si>
  <si>
    <t>Martha Stewart Collection Harvest Serve Bowl Multi</t>
  </si>
  <si>
    <t>28295020367</t>
  </si>
  <si>
    <t>Umbra Umbra Large Document Frame, 11 Black</t>
  </si>
  <si>
    <t>316280-040</t>
  </si>
  <si>
    <t>MOLDED PLASTIC</t>
  </si>
  <si>
    <t>843944155111</t>
  </si>
  <si>
    <t>TMD Holdings Listen to my Wine Florals- Hos Blue</t>
  </si>
  <si>
    <t>TMD HOLDINGS</t>
  </si>
  <si>
    <t>843944155975</t>
  </si>
  <si>
    <t>TMD Holdings Hostess Set with Oversized Ste White</t>
  </si>
  <si>
    <t>641265199308</t>
  </si>
  <si>
    <t>Mikasa Platinum Crown Tea Cup</t>
  </si>
  <si>
    <t>L3428-204</t>
  </si>
  <si>
    <t>TEACUP</t>
  </si>
  <si>
    <t>795785581355</t>
  </si>
  <si>
    <t>Thirstystone Fall Leaves Felted Wool Coaste Natural</t>
  </si>
  <si>
    <t>NMMH6</t>
  </si>
  <si>
    <t>882864816160</t>
  </si>
  <si>
    <t>Lenox Trianna Mug Taupe</t>
  </si>
  <si>
    <t>L885164</t>
  </si>
  <si>
    <t>LT/PAS BWN</t>
  </si>
  <si>
    <t>882864762474</t>
  </si>
  <si>
    <t>Lenox Market Place Place Setting Bow Indigo</t>
  </si>
  <si>
    <t>L878852</t>
  </si>
  <si>
    <t>37725591940</t>
  </si>
  <si>
    <t>Noritake x Blue</t>
  </si>
  <si>
    <t>9349-605B</t>
  </si>
  <si>
    <t>710309361039</t>
  </si>
  <si>
    <t>Lillian Rose Lillian Rose Small Side Vase F</t>
  </si>
  <si>
    <t>US118</t>
  </si>
  <si>
    <t>LILLIAN ROSE INC</t>
  </si>
  <si>
    <t>885991099550</t>
  </si>
  <si>
    <t>Mikasa Siena Mug</t>
  </si>
  <si>
    <t>733004802928</t>
  </si>
  <si>
    <t>Martha Stewart Collection Marble Heart Coasters, Set of</t>
  </si>
  <si>
    <t>71160209770</t>
  </si>
  <si>
    <t>Corelle White 2-Qt. Serving Bowl White</t>
  </si>
  <si>
    <t>VITRELLE® GLASS</t>
  </si>
  <si>
    <t>733001824008</t>
  </si>
  <si>
    <t>Martha Stewart Collection Valentines Day Marble Heart C White With Gold Pattern</t>
  </si>
  <si>
    <t>88235734532</t>
  </si>
  <si>
    <t>Jay Imports WHITE CERAMIC EMBOSSED PLANTER White</t>
  </si>
  <si>
    <t>1185235-M</t>
  </si>
  <si>
    <t>795785419351</t>
  </si>
  <si>
    <t>Thirstystone Aluminum Flag Trivet Silver No Size</t>
  </si>
  <si>
    <t>N2944-MCY</t>
  </si>
  <si>
    <t>28199226049</t>
  </si>
  <si>
    <t>Godinger Godinger Pivot Liquor Glasses Clear No Size</t>
  </si>
  <si>
    <t>28199977026</t>
  </si>
  <si>
    <t>Godinger Godinger Sunburst Copper Finis Copper</t>
  </si>
  <si>
    <t>20911250677</t>
  </si>
  <si>
    <t>Mikasa Stephanie Iced Beverage Glas</t>
  </si>
  <si>
    <t>T7201-024</t>
  </si>
  <si>
    <t>37725558691</t>
  </si>
  <si>
    <t>Noritake Nanshing Terra Cotta</t>
  </si>
  <si>
    <t>8092-772</t>
  </si>
  <si>
    <t>DRAFT - Godinger Sunburst Copp Copper</t>
  </si>
  <si>
    <t>795785580655</t>
  </si>
  <si>
    <t>Thirstystone Wood Leaf-Handled Spreaders, S Brown</t>
  </si>
  <si>
    <t>N3341-MCY</t>
  </si>
  <si>
    <t>DRAFT - Godinger Pivot Liquor Clear No Size</t>
  </si>
  <si>
    <t>88235734433</t>
  </si>
  <si>
    <t>Jay Imports HANGING CERAMIC PLANTER WITH R Black</t>
  </si>
  <si>
    <t>1185226-M</t>
  </si>
  <si>
    <t>845499061053</t>
  </si>
  <si>
    <t>Happy Everything Happy Everything Collection Beige</t>
  </si>
  <si>
    <t>MSMBWL-STR-COB</t>
  </si>
  <si>
    <t>4X2.5</t>
  </si>
  <si>
    <t>LAURA JOHNSON/COTON COLORS EXPRESS</t>
  </si>
  <si>
    <t>DOLOMITE</t>
  </si>
  <si>
    <t>843944156033</t>
  </si>
  <si>
    <t>TMD Holdings Corgi Bottle Stopper 2 Steml Red</t>
  </si>
  <si>
    <t>667880902024</t>
  </si>
  <si>
    <t>Chilewich Mini Basketweave Turquoise Pla Espresso</t>
  </si>
  <si>
    <t>PMAT094</t>
  </si>
  <si>
    <t>SADDLE</t>
  </si>
  <si>
    <t>667880906633</t>
  </si>
  <si>
    <t>Chilewich Mini Basketweave Turquoise Pla Linen</t>
  </si>
  <si>
    <t>PMAT150</t>
  </si>
  <si>
    <t>LT BEIGE</t>
  </si>
  <si>
    <t>719978847998</t>
  </si>
  <si>
    <t>Thirstystone Thirstystone By Cambridge Sili Black</t>
  </si>
  <si>
    <t>94468IMTW</t>
  </si>
  <si>
    <t>45987216815</t>
  </si>
  <si>
    <t>Philip Whitney Philip Whitney Silver Woven Fr Silver</t>
  </si>
  <si>
    <t>SILVERPLATE</t>
  </si>
  <si>
    <t>719978838774</t>
  </si>
  <si>
    <t>Macys 20 OZ BLACK CLASSIC BARRELL BE Black</t>
  </si>
  <si>
    <t>E9386MBTS2BM</t>
  </si>
  <si>
    <t>786460649873</t>
  </si>
  <si>
    <t>Home Essentials Triple Reindeer Bowl No Color</t>
  </si>
  <si>
    <t>6411929502850</t>
  </si>
  <si>
    <t>iittala Aino Aalto 8-Oz. Tumbler Set o Light Blue</t>
  </si>
  <si>
    <t>LT/PASBLUE</t>
  </si>
  <si>
    <t>IITTALA</t>
  </si>
  <si>
    <t>848616082825</t>
  </si>
  <si>
    <t>Shiraleah Shiraleah Give Me Some Sugar White</t>
  </si>
  <si>
    <t>17-BA-016WH</t>
  </si>
  <si>
    <t>SHIRALEAH HOME/SHIRALEAH</t>
  </si>
  <si>
    <t>COTTON</t>
  </si>
  <si>
    <t>71160031104</t>
  </si>
  <si>
    <t>Corelle Corelle White Serving Platter White</t>
  </si>
  <si>
    <t>VITRELLE GLASS</t>
  </si>
  <si>
    <t>733002965854</t>
  </si>
  <si>
    <t>Macys Harvest Leaf Napkin Rings, Set Gold</t>
  </si>
  <si>
    <t>MARTHA STEWART-MMG/WHIM</t>
  </si>
  <si>
    <t>733004832581</t>
  </si>
  <si>
    <t>Martha Stewart Collection Easter Figural Flower Napkin R Gold</t>
  </si>
  <si>
    <t>MARTHA STEWART-MMG/FORTUNE UNION</t>
  </si>
  <si>
    <t>37725557106</t>
  </si>
  <si>
    <t>Noritake Noritake Colorwave Graphite White</t>
  </si>
  <si>
    <t>8090-484</t>
  </si>
  <si>
    <t>91709056382</t>
  </si>
  <si>
    <t>Lenox Eternal Appetizer Plate</t>
  </si>
  <si>
    <t>L140104020</t>
  </si>
  <si>
    <t>BRDBTTRPLT</t>
  </si>
  <si>
    <t>86279187604</t>
  </si>
  <si>
    <t>Cuisinart 6-Pc. Cactus Print Cutlery Set Multi</t>
  </si>
  <si>
    <t>C55-6PCSC</t>
  </si>
  <si>
    <t>37725523736</t>
  </si>
  <si>
    <t>Noritake Noritake Colorwave Graphite Graphite</t>
  </si>
  <si>
    <t>8034-484</t>
  </si>
  <si>
    <t>91709167545</t>
  </si>
  <si>
    <t>Lenox Federal Platinum Appetizer Pla</t>
  </si>
  <si>
    <t>L100210022</t>
  </si>
  <si>
    <t>733002965830</t>
  </si>
  <si>
    <t>Martha Stewart Collection Harvest Blue Charger Blue</t>
  </si>
  <si>
    <t>MARTHA STEWART-MMG/PALM TREE</t>
  </si>
  <si>
    <t>733002965847</t>
  </si>
  <si>
    <t>Martha Stewart Collection Harvest Gold Charger Gold</t>
  </si>
  <si>
    <t>85081472441</t>
  </si>
  <si>
    <t>Cravings by Chrissy Teigen Gold colored Metal Trivet Gold No Size</t>
  </si>
  <si>
    <t>795785578454</t>
  </si>
  <si>
    <t>Thirstystone None Gold</t>
  </si>
  <si>
    <t>N3330-MCY</t>
  </si>
  <si>
    <t>739550331370</t>
  </si>
  <si>
    <t>Elrene Holiday Sentiments Napkins, Se Red</t>
  </si>
  <si>
    <t>91233RED</t>
  </si>
  <si>
    <t>ELRENE HOME FASHIONS</t>
  </si>
  <si>
    <t>733004795190</t>
  </si>
  <si>
    <t>Martha Stewart Collection Easter Figural Bunny Salt Pe White</t>
  </si>
  <si>
    <t>843944155944</t>
  </si>
  <si>
    <t>TMD Holdings Before WorkAfter Work Mug S Burgundy</t>
  </si>
  <si>
    <t>843944155937</t>
  </si>
  <si>
    <t>TMD Holdings Mom FuelBecause Kids Mug St Navy</t>
  </si>
  <si>
    <t>795785388251</t>
  </si>
  <si>
    <t>Thirstystone Starlight Slate Bottle Stopper Dark Grey No Size</t>
  </si>
  <si>
    <t>N2901-MCY</t>
  </si>
  <si>
    <t>SLATE, ALUMINUM, SILICONE</t>
  </si>
  <si>
    <t>786460448681</t>
  </si>
  <si>
    <t>Home Essentials Thankful 5-Cup Votive Holder w Silver</t>
  </si>
  <si>
    <t>882864666987</t>
  </si>
  <si>
    <t>Lenox Neutral Party Link Collection White</t>
  </si>
  <si>
    <t>L867840</t>
  </si>
  <si>
    <t>91709167569</t>
  </si>
  <si>
    <t>Lenox Federal Platinum Tea Saucer</t>
  </si>
  <si>
    <t>L100210042</t>
  </si>
  <si>
    <t>882864756992</t>
  </si>
  <si>
    <t>Lenox Manarola Mug Multi</t>
  </si>
  <si>
    <t>L878268</t>
  </si>
  <si>
    <t>91709056429</t>
  </si>
  <si>
    <t>Lenox Eternal Tea Saucer</t>
  </si>
  <si>
    <t>L140104040</t>
  </si>
  <si>
    <t>667880930065</t>
  </si>
  <si>
    <t>Chilewich Fade 14 x 19 Placemat Matcha</t>
  </si>
  <si>
    <t>PMAT356</t>
  </si>
  <si>
    <t>WOVEN VINYL</t>
  </si>
  <si>
    <t>85081371638</t>
  </si>
  <si>
    <t>Gibson Laurie Gates Reactive Glaze Blue Pasta Bowl Blue</t>
  </si>
  <si>
    <t>732994756129</t>
  </si>
  <si>
    <t>Hotel Collection Olaria Mug White</t>
  </si>
  <si>
    <t>721862287063</t>
  </si>
  <si>
    <t>Benson Mills CLOSEOUT Autumn Beauty Yarn D Natural 18x18</t>
  </si>
  <si>
    <t>BENSON MILLS CO INC</t>
  </si>
  <si>
    <t>789313392070</t>
  </si>
  <si>
    <t>TarHong Faux Acacia Wood Carrara Mar</t>
  </si>
  <si>
    <t>TPMMT0200PMA</t>
  </si>
  <si>
    <t>TAR HONG DIRECT</t>
  </si>
  <si>
    <t>PVC/EVA</t>
  </si>
  <si>
    <t>732996683676</t>
  </si>
  <si>
    <t>Hotel Collection Modern Oval Cereal Bowl White</t>
  </si>
  <si>
    <t>795785419856</t>
  </si>
  <si>
    <t>Thirstystone Beaded Flag Star Trivet Red No Size</t>
  </si>
  <si>
    <t>N2949-MCY</t>
  </si>
  <si>
    <t>795785419559</t>
  </si>
  <si>
    <t>Thirstystone Beaded Flag Heart Trivet White No Size</t>
  </si>
  <si>
    <t>N2946-MCY</t>
  </si>
  <si>
    <t>845095086016</t>
  </si>
  <si>
    <t>Marshall Home Gardens Marshall Home Garden Plant W Pink</t>
  </si>
  <si>
    <t>EVA54</t>
  </si>
  <si>
    <t>PINK</t>
  </si>
  <si>
    <t>MARSHALL HOME &amp; GARDEN</t>
  </si>
  <si>
    <t>EVA FOAM</t>
  </si>
  <si>
    <t>845095086160</t>
  </si>
  <si>
    <t>Marshall Home Gardens Marshall Home Garden Plant W White and Brown</t>
  </si>
  <si>
    <t>EVA69</t>
  </si>
  <si>
    <t>845095087013</t>
  </si>
  <si>
    <t>Marshall Home Gardens Marshall Home Garden Plant W Green and White</t>
  </si>
  <si>
    <t>EVA70</t>
  </si>
  <si>
    <t>845095064571</t>
  </si>
  <si>
    <t>Marshall Home Gardens EVA Foam Flower With White Flo White</t>
  </si>
  <si>
    <t>EVA05</t>
  </si>
  <si>
    <t>845095064540</t>
  </si>
  <si>
    <t>Marshall Home Gardens Marshall Home Garden Green S Green</t>
  </si>
  <si>
    <t>EVA02</t>
  </si>
  <si>
    <t>845095087068</t>
  </si>
  <si>
    <t>EVA75</t>
  </si>
  <si>
    <t>845095088218</t>
  </si>
  <si>
    <t>Marshall Home Gardens EVA Foam Pink Flowers with Gre Pink</t>
  </si>
  <si>
    <t>EVA90</t>
  </si>
  <si>
    <t>42648413231</t>
  </si>
  <si>
    <t>Fiesta Vitrified-China Tapered Mug White</t>
  </si>
  <si>
    <t>VITRIFIED CHINA WITH LEAD-FREE GLAZING</t>
  </si>
  <si>
    <t>795785581454</t>
  </si>
  <si>
    <t>Thirstystone Thankful Leaf Felted Wool Triv Natural</t>
  </si>
  <si>
    <t>NMMH7</t>
  </si>
  <si>
    <t>818573018557</t>
  </si>
  <si>
    <t>Bloem Bloem 8 Dura Cotta Planter Black 8</t>
  </si>
  <si>
    <t>DC8-00</t>
  </si>
  <si>
    <t>BLOEM LLC</t>
  </si>
  <si>
    <t>28199646298</t>
  </si>
  <si>
    <t>DRAFT - Godinger Candy Dish, I Clear</t>
  </si>
  <si>
    <t>45987211278</t>
  </si>
  <si>
    <t>Philip Whitney Philip Whitney Diagonal Lines Silver</t>
  </si>
  <si>
    <t>39938233730</t>
  </si>
  <si>
    <t>Michael Aram MADHOUSE by Michael Aram Black BLACK</t>
  </si>
  <si>
    <t>MADHOUSE/HOFFMASTER GROUP INC</t>
  </si>
  <si>
    <t>POLYSTYRENE</t>
  </si>
  <si>
    <t>28199116357</t>
  </si>
  <si>
    <t>DRAFT - Godinger Nest Voltive Gold</t>
  </si>
  <si>
    <t>749151644502</t>
  </si>
  <si>
    <t>Portmeirion Flamingo Melamine Sandwich Tra White No Size</t>
  </si>
  <si>
    <t>PORTMEIRION USA</t>
  </si>
  <si>
    <t>28199551097</t>
  </si>
  <si>
    <t>Godinger Gold Aster Set4 Napkin Rings</t>
  </si>
  <si>
    <t>GODINGER SILVER ART COMPANY LTD</t>
  </si>
  <si>
    <t>NICKELPLATE</t>
  </si>
  <si>
    <t>732998626985</t>
  </si>
  <si>
    <t>Hotel Collection Modern Bisque Dinnerware Colle Rose</t>
  </si>
  <si>
    <t>843944106038</t>
  </si>
  <si>
    <t>TMD Holdings TMD Holdings Dont Ask Just Po No Color No Size</t>
  </si>
  <si>
    <t>CH0071</t>
  </si>
  <si>
    <t>732998626923</t>
  </si>
  <si>
    <t>845095092307</t>
  </si>
  <si>
    <t>Marshall Home Gardens Marshall Home Garden Plant W Coral</t>
  </si>
  <si>
    <t>EVA111</t>
  </si>
  <si>
    <t>721862264477</t>
  </si>
  <si>
    <t>Benson Mills POINSETTIA LEGACY DAMASK NAPKI Red</t>
  </si>
  <si>
    <t>37725591636</t>
  </si>
  <si>
    <t>Noritake x Taupe</t>
  </si>
  <si>
    <t>G009-704</t>
  </si>
  <si>
    <t>732998266518</t>
  </si>
  <si>
    <t>Hotel Collection Classic Foulard Salad Plate White</t>
  </si>
  <si>
    <t>795785419757</t>
  </si>
  <si>
    <t>Thirstystone Beaded Flag Coasters Red No Size</t>
  </si>
  <si>
    <t>N2948-MCY</t>
  </si>
  <si>
    <t>733004920431</t>
  </si>
  <si>
    <t>Martha Stewart Collection Valentines Day Box of Artific Multi</t>
  </si>
  <si>
    <t>739550323931</t>
  </si>
  <si>
    <t>Elrene Farmhouse Living Homestead Str Graywhite</t>
  </si>
  <si>
    <t>95165GYW</t>
  </si>
  <si>
    <t>38 SGL</t>
  </si>
  <si>
    <t>4003686321687</t>
  </si>
  <si>
    <t>Villeroy Boch Artesano Nature Espresso Cup S Blue</t>
  </si>
  <si>
    <t>608381684620</t>
  </si>
  <si>
    <t>Hotel Collection Modern Large Latte Mug Stone</t>
  </si>
  <si>
    <t>HMLATMGSTN</t>
  </si>
  <si>
    <t>733004967641</t>
  </si>
  <si>
    <t>Martha Stewart Collection Hello Sunshine Figural Lemon A Multi</t>
  </si>
  <si>
    <t>883314869439</t>
  </si>
  <si>
    <t>Luminarc Aristocrat Cooler Glasses, Set Clear Glass</t>
  </si>
  <si>
    <t>Q5645</t>
  </si>
  <si>
    <t>883314869422</t>
  </si>
  <si>
    <t>Luminarc Sterling Double Old-Fashioned Clear</t>
  </si>
  <si>
    <t>Q5644</t>
  </si>
  <si>
    <t>762120264914</t>
  </si>
  <si>
    <t>Martha Stewart Collection Easter Napkin Rings, Set of 4, Multi</t>
  </si>
  <si>
    <t>732998626930</t>
  </si>
  <si>
    <t>883314794922</t>
  </si>
  <si>
    <t>Luminarc Tacoma Cooler Glasses, Set of Clear</t>
  </si>
  <si>
    <t>P8531</t>
  </si>
  <si>
    <t>883314885248</t>
  </si>
  <si>
    <t>Luminarc Cachet Stemless Flutes, Set of Clear</t>
  </si>
  <si>
    <t>Q7149</t>
  </si>
  <si>
    <t>883314885231</t>
  </si>
  <si>
    <t>Luminarc Concerto Stemless Wine Glasses Clear</t>
  </si>
  <si>
    <t>Q7148</t>
  </si>
  <si>
    <t>28332574341</t>
  </si>
  <si>
    <t>Kate Spade kate spade new york Larabee Do Brt Pink No Size</t>
  </si>
  <si>
    <t>145583NBK 044</t>
  </si>
  <si>
    <t>KATE SPADE/TOWN &amp; COUNTRY LINEN</t>
  </si>
  <si>
    <t>883314840667</t>
  </si>
  <si>
    <t>Luminarc Cachet 17oz Stemless Wine Set Clear Glass</t>
  </si>
  <si>
    <t>Q2923</t>
  </si>
  <si>
    <t>11381059839</t>
  </si>
  <si>
    <t>Bormioli Rocco 33-Oz. Lidded Fido Jar None</t>
  </si>
  <si>
    <t>FIDO JAR2</t>
  </si>
  <si>
    <t>45987229495</t>
  </si>
  <si>
    <t>Philip Whitney Pw 5x5 Mat 4x4 Bead Trim Silver</t>
  </si>
  <si>
    <t>608381857499</t>
  </si>
  <si>
    <t>Hotel Collection Modern Marble-Finish Mug</t>
  </si>
  <si>
    <t>HTLMRBMUG</t>
  </si>
  <si>
    <t>608381684637</t>
  </si>
  <si>
    <t>Hotel Collection Modern Bisque Dinnerware Colle Navy</t>
  </si>
  <si>
    <t>HMMUGNAVY</t>
  </si>
  <si>
    <t>722885543112</t>
  </si>
  <si>
    <t>Homewear Spring Corinne Floral Quilted Pink</t>
  </si>
  <si>
    <t>10114-640</t>
  </si>
  <si>
    <t>42648427955</t>
  </si>
  <si>
    <t>Fiesta Fruit Bowl Claret</t>
  </si>
  <si>
    <t>DARK RED</t>
  </si>
  <si>
    <t>FULLY VITRIFIED CHINA WITH LEAD &amp; CADMIUM-FREE GLAZE</t>
  </si>
  <si>
    <t>733003012588</t>
  </si>
  <si>
    <t>The Cellar Holiday Two In One Tree Coas Green</t>
  </si>
  <si>
    <t>THE CELLAR-MMG/NISHAT CHUNIAN</t>
  </si>
  <si>
    <t>721862261681</t>
  </si>
  <si>
    <t>Benson Mills CLOSEOUT Benson Mills Harvest Rust 18x13</t>
  </si>
  <si>
    <t>25398192823</t>
  </si>
  <si>
    <t>Pfaltzgraff Mr. Mustache Mug No Color</t>
  </si>
  <si>
    <t>11381362908</t>
  </si>
  <si>
    <t>Bormioli Rocco Swing-Top Bottle</t>
  </si>
  <si>
    <t>SWING1</t>
  </si>
  <si>
    <t>28332533751</t>
  </si>
  <si>
    <t>Fiesta Fiesta Fringed Cobalt Napkin Cobalt</t>
  </si>
  <si>
    <t>136763NBK 133</t>
  </si>
  <si>
    <t>BLUE</t>
  </si>
  <si>
    <t>19X19</t>
  </si>
  <si>
    <t>FIESTA/TOWN &amp; COUNTRY LINEN</t>
  </si>
  <si>
    <t>25398212064</t>
  </si>
  <si>
    <t>Pfaltzgraff Pineapple Print Mug Multi</t>
  </si>
  <si>
    <t>25398205455</t>
  </si>
  <si>
    <t>Pfaltzgraff Vintage Flag Mug Red</t>
  </si>
  <si>
    <t>13302558179</t>
  </si>
  <si>
    <t>Martha Stewart Collection Whiteware Mug No Color</t>
  </si>
  <si>
    <t>28332752336</t>
  </si>
  <si>
    <t>Fiesta Cameron Stripe Napkin Natural No Size</t>
  </si>
  <si>
    <t>NK013870TNFI 1NL</t>
  </si>
  <si>
    <t>25398174508</t>
  </si>
  <si>
    <t>Pfaltzgraff Besame Mug White</t>
  </si>
  <si>
    <t>786460373082</t>
  </si>
  <si>
    <t>Home Essentials Harvest Leaf Votive Holder Brown</t>
  </si>
  <si>
    <t>733001944492</t>
  </si>
  <si>
    <t>Martha Stewart Collection Artificial Tulip Daffodil Plac Pink Yellow</t>
  </si>
  <si>
    <t>NT21000026</t>
  </si>
  <si>
    <t>843944147956</t>
  </si>
  <si>
    <t>TMD Holdings Ceramic Travel Mug with Sili Gold</t>
  </si>
  <si>
    <t>843944151120</t>
  </si>
  <si>
    <t>TMD Holdings Ceramic Travel Mug with Sili Blue</t>
  </si>
  <si>
    <t>795785336351</t>
  </si>
  <si>
    <t>Thirstystone Chili Pepper Coaster Bright Yellow No Size</t>
  </si>
  <si>
    <t>FS-DMS4</t>
  </si>
  <si>
    <t>BRGHT YELL</t>
  </si>
  <si>
    <t>795785318357</t>
  </si>
  <si>
    <t>Thirstystone YOLO Caution Coaster White No Size</t>
  </si>
  <si>
    <t>FS-DDC8</t>
  </si>
  <si>
    <t>795785335552</t>
  </si>
  <si>
    <t>Thirstystone A Day Without Coffee Coaster White No Size</t>
  </si>
  <si>
    <t>FS-JWS9</t>
  </si>
  <si>
    <t>795785610758</t>
  </si>
  <si>
    <t>Thirstystone Chill Coaster Single Pastel Green</t>
  </si>
  <si>
    <t>FS-AHB4</t>
  </si>
  <si>
    <t>795785313857</t>
  </si>
  <si>
    <t>Thirstystone Full of Gluten Coaster White No Size</t>
  </si>
  <si>
    <t>FS-LW24</t>
  </si>
  <si>
    <t>795785272055</t>
  </si>
  <si>
    <t>Thirstystone Fashion Chic Coaster Pink No Size</t>
  </si>
  <si>
    <t>FS-UN64</t>
  </si>
  <si>
    <t>795785610154</t>
  </si>
  <si>
    <t>Thirstystone Enchanted Forest Coaster Singl Dark Blue</t>
  </si>
  <si>
    <t>FS-BBL20</t>
  </si>
  <si>
    <t>795785334654</t>
  </si>
  <si>
    <t>Thirstystone Tropic Like Its Hot Coaster White No Size</t>
  </si>
  <si>
    <t>FS-LSS6</t>
  </si>
  <si>
    <t>795785610055</t>
  </si>
  <si>
    <t>Thirstystone Good Things Ahead Coaster Sing Dark Gray</t>
  </si>
  <si>
    <t>FS-BBL19</t>
  </si>
  <si>
    <t>795785610550</t>
  </si>
  <si>
    <t>Thirstystone Every Moment Coaster Single Dark Blue</t>
  </si>
  <si>
    <t>FS-KDC69</t>
  </si>
  <si>
    <t>795785609356</t>
  </si>
  <si>
    <t>Thirstystone Home Sweet Home Office Coaster White</t>
  </si>
  <si>
    <t>FS-HTT25</t>
  </si>
  <si>
    <t>795785610253</t>
  </si>
  <si>
    <t>Thirstystone Make Waves Coaster Single Pastel Orange</t>
  </si>
  <si>
    <t>FS-DMV6</t>
  </si>
  <si>
    <t>LT/PAS ORG</t>
  </si>
  <si>
    <t>795785609455</t>
  </si>
  <si>
    <t>Thirstystone Pink Orange Marble Coaster S Pink</t>
  </si>
  <si>
    <t>FS-FLU2</t>
  </si>
  <si>
    <t>795785336559</t>
  </si>
  <si>
    <t>Thirstystone Indigo Tile II Coaster Medium Blue No Size</t>
  </si>
  <si>
    <t>FS-ZZ26</t>
  </si>
  <si>
    <t>795785336054</t>
  </si>
  <si>
    <t>Thirstystone Namaste in Bed Coaster White No Size</t>
  </si>
  <si>
    <t>FS-LSF1</t>
  </si>
  <si>
    <t>795785444056</t>
  </si>
  <si>
    <t>Thirstystone Good Man Great Dad Coaster Blue No Size</t>
  </si>
  <si>
    <t>FS-ARS6</t>
  </si>
  <si>
    <t>795785724301</t>
  </si>
  <si>
    <t>Thirstystone Chill Out Coaster White No Size</t>
  </si>
  <si>
    <t>FS-GPP36</t>
  </si>
  <si>
    <t>795785335156</t>
  </si>
  <si>
    <t>Thirstystone Fashionista Sunglasses Coaster White No Size</t>
  </si>
  <si>
    <t>FS-RRD2</t>
  </si>
  <si>
    <t>795785335958</t>
  </si>
  <si>
    <t>Thirstystone Mexican Decorative Coaster Miscellaneous No Size</t>
  </si>
  <si>
    <t>FS-LW32</t>
  </si>
  <si>
    <t>795785444155</t>
  </si>
  <si>
    <t>Thirstystone Dad, Youre My Hero Coaster Grey No Size</t>
  </si>
  <si>
    <t>FS-ESL1</t>
  </si>
  <si>
    <t>795785335859</t>
  </si>
  <si>
    <t>Thirstystone Drama Llama Coaster White No Size</t>
  </si>
  <si>
    <t>FS-RU4</t>
  </si>
  <si>
    <t>795785803808</t>
  </si>
  <si>
    <t>Thirstystone Navy Blush Coaster Pastel Purple No Size</t>
  </si>
  <si>
    <t>FS-KJN1</t>
  </si>
  <si>
    <t>LT/PAS PUR</t>
  </si>
  <si>
    <t>795785318852</t>
  </si>
  <si>
    <t>Thirstystone Amour Spectre Coaster White No Size</t>
  </si>
  <si>
    <t>FS-SBL5</t>
  </si>
  <si>
    <t>795785609653</t>
  </si>
  <si>
    <t>Thirstystone Hanging Airplant Coaster Singl White</t>
  </si>
  <si>
    <t>FS-NQ13</t>
  </si>
  <si>
    <t>795785610451</t>
  </si>
  <si>
    <t>Thirstystone Food for the Soul Coaster Sing Charcoal</t>
  </si>
  <si>
    <t>FS-LAV21</t>
  </si>
  <si>
    <t>795785610659</t>
  </si>
  <si>
    <t>Thirstystone Agate Studies 2 Coaster Single Medium Blue</t>
  </si>
  <si>
    <t>FS-NMC5</t>
  </si>
  <si>
    <t>795785334555</t>
  </si>
  <si>
    <t>Thirstystone The Future is Female Coaster Light Gray No Size</t>
  </si>
  <si>
    <t>FS-LSS5</t>
  </si>
  <si>
    <t>795785334852</t>
  </si>
  <si>
    <t>Thirstystone Parenthood Humor Coaster White No Size</t>
  </si>
  <si>
    <t>FS-DDC9</t>
  </si>
  <si>
    <t>795785334951</t>
  </si>
  <si>
    <t>Thirstystone Pour Decisions Coaster White No Size</t>
  </si>
  <si>
    <t>FS-DDC10</t>
  </si>
  <si>
    <t>795785609554</t>
  </si>
  <si>
    <t>Thirstystone Alexa Pour More Wine Coaster S Pastel Pink</t>
  </si>
  <si>
    <t>FS-NV2</t>
  </si>
  <si>
    <t>LT/PASPINK</t>
  </si>
  <si>
    <t>795785609950</t>
  </si>
  <si>
    <t>Thirstystone Marble Swirl Coaster Single Beige</t>
  </si>
  <si>
    <t>FS-NCU10</t>
  </si>
  <si>
    <t>795785609158</t>
  </si>
  <si>
    <t>Thirstystone Potted Plants Coaster Single White</t>
  </si>
  <si>
    <t>FS-ARW1</t>
  </si>
  <si>
    <t>795785609257</t>
  </si>
  <si>
    <t>Thirstystone Palm 2 Coaster Single Medium Green</t>
  </si>
  <si>
    <t>FS-JSL1</t>
  </si>
  <si>
    <t>MED GREEN</t>
  </si>
  <si>
    <t>795785975901</t>
  </si>
  <si>
    <t>Thirstystone Be a Unicorn Coaster Pink No Size</t>
  </si>
  <si>
    <t>FS-MWV2</t>
  </si>
  <si>
    <t>795785336252</t>
  </si>
  <si>
    <t>Thirstystone Eat Pizza Coaster White No Size</t>
  </si>
  <si>
    <t>FS-HEW1</t>
  </si>
  <si>
    <t>795785444353</t>
  </si>
  <si>
    <t>Thirstystone Love Can Change the World Coas White No Size</t>
  </si>
  <si>
    <t>FS-YC17</t>
  </si>
  <si>
    <t>795785445350</t>
  </si>
  <si>
    <t>Thirstystone Grandpa the Legend Coaster White No Size</t>
  </si>
  <si>
    <t>FS-UN84</t>
  </si>
  <si>
    <t>88235734440</t>
  </si>
  <si>
    <t>Jay Imports WHITE CERAMIC MINI PLANTER White</t>
  </si>
  <si>
    <t>1185227-M</t>
  </si>
  <si>
    <t>88235734457</t>
  </si>
  <si>
    <t>Jay Imports BLACK CERAMIC MINI PLANTER Black</t>
  </si>
  <si>
    <t>1185228-M</t>
  </si>
  <si>
    <t>795785420852</t>
  </si>
  <si>
    <t>Thirstystone God Bless America Coaster White No Size</t>
  </si>
  <si>
    <t>FS-JT133</t>
  </si>
  <si>
    <t>795785815306</t>
  </si>
  <si>
    <t>Thirstystone Man Walks Coasters Black</t>
  </si>
  <si>
    <t>FS-UN49</t>
  </si>
  <si>
    <t>795785616804</t>
  </si>
  <si>
    <t>Thirstystone Thirstystone Be a Pineapple Co No Color No Size</t>
  </si>
  <si>
    <t>FS-JT108</t>
  </si>
  <si>
    <t>795785331004</t>
  </si>
  <si>
    <t>Thirstystone Fruit Of The Spirit Coaster</t>
  </si>
  <si>
    <t>FS-JT96</t>
  </si>
  <si>
    <t>DOLOMITE/CORK</t>
  </si>
  <si>
    <t>795785617801</t>
  </si>
  <si>
    <t>Thirstystone Thirstystone No Prob-Llama Coa No Color No Size</t>
  </si>
  <si>
    <t>FS-JEV17</t>
  </si>
  <si>
    <t>DOLOMITE; CORK</t>
  </si>
  <si>
    <t>795785355703</t>
  </si>
  <si>
    <t>Thirstystone Boho Elephant Coaster</t>
  </si>
  <si>
    <t>FS-NQ4</t>
  </si>
  <si>
    <t>795785248951</t>
  </si>
  <si>
    <t>Thirstystone Not All Who Wander Coaster</t>
  </si>
  <si>
    <t>FS-PB1</t>
  </si>
  <si>
    <t>795785234121</t>
  </si>
  <si>
    <t>Thirstystone Love the Wine Youre With Coas</t>
  </si>
  <si>
    <t>FS-TR122</t>
  </si>
  <si>
    <t>795785186291</t>
  </si>
  <si>
    <t>Thirstystone Group Therapy Coaster</t>
  </si>
  <si>
    <t>FS-WX009</t>
  </si>
  <si>
    <t>795785355208</t>
  </si>
  <si>
    <t>Thirstystone Love Builds A Happy Home Coast</t>
  </si>
  <si>
    <t>FS-MLP3</t>
  </si>
  <si>
    <t>795785612707</t>
  </si>
  <si>
    <t>Thirstystone Thirstystone No Coffee No Talk No Color No Size</t>
  </si>
  <si>
    <t>FS-DQ10</t>
  </si>
  <si>
    <t>749151442528</t>
  </si>
  <si>
    <t>BOT GRDN 12-PIECE SET BASIC</t>
  </si>
  <si>
    <t>602573549889</t>
  </si>
  <si>
    <t>ELAMA DINNERWARE</t>
  </si>
  <si>
    <t>ELAMA/MEGAGOODS INC</t>
  </si>
  <si>
    <t>191453007026</t>
  </si>
  <si>
    <t>SHOE WITH BUTTERFLY</t>
  </si>
  <si>
    <t>3232870182907</t>
  </si>
  <si>
    <t>LA ROCHERE</t>
  </si>
  <si>
    <t>FRENCH HOME LLC</t>
  </si>
  <si>
    <t>732998360377</t>
  </si>
  <si>
    <t>WILD ROSE CUP/SAUCER BASIC</t>
  </si>
  <si>
    <t>885991178996</t>
  </si>
  <si>
    <t>MIKASA</t>
  </si>
  <si>
    <t>644907088213</t>
  </si>
  <si>
    <t>PIOGGIA 5PC. HOSTESS</t>
  </si>
  <si>
    <t>RICCI ARGENTIERI/GODINGER INTL</t>
  </si>
  <si>
    <t>667880938863</t>
  </si>
  <si>
    <t>RUNNERS</t>
  </si>
  <si>
    <t>RUNN137</t>
  </si>
  <si>
    <t>4001836023719</t>
  </si>
  <si>
    <t>SCHOTT ZWIESEL GLASS</t>
  </si>
  <si>
    <t>FORTESSA TABLEWARE SOLUTIONS LLC</t>
  </si>
  <si>
    <t>49182005724</t>
  </si>
  <si>
    <t>Stupell Industries Stupell Industries Home Decor Multi 12 x 12</t>
  </si>
  <si>
    <t>AGP-154-WD-13X19</t>
  </si>
  <si>
    <t>667880938801</t>
  </si>
  <si>
    <t>PLACEMATS3</t>
  </si>
  <si>
    <t>PMAT559</t>
  </si>
  <si>
    <t>ORANGE</t>
  </si>
  <si>
    <t>732997391785</t>
  </si>
  <si>
    <t>SO MARBLE LAZY SUSAN BASIC</t>
  </si>
  <si>
    <t>5391532110431</t>
  </si>
  <si>
    <t>Chefs Vision Chefs Vision Slice Bright 6-P Multi</t>
  </si>
  <si>
    <t>PID041</t>
  </si>
  <si>
    <t>CHEF'S VISION/REDJOKER ASSETS LTD</t>
  </si>
  <si>
    <t>810034838223</t>
  </si>
  <si>
    <t>LP SALAD SERVER</t>
  </si>
  <si>
    <t>LPA31101</t>
  </si>
  <si>
    <t>810034838148</t>
  </si>
  <si>
    <t>LP WINE GLASS</t>
  </si>
  <si>
    <t>LPA30501</t>
  </si>
  <si>
    <t>3232870074660</t>
  </si>
  <si>
    <t>6PC GLASS SET</t>
  </si>
  <si>
    <t>4003683315306</t>
  </si>
  <si>
    <t>MEDINA 5PC PL SET</t>
  </si>
  <si>
    <t>663698360438</t>
  </si>
  <si>
    <t>OPTICAL RED WATER</t>
  </si>
  <si>
    <t>OPT-8810R</t>
  </si>
  <si>
    <t>CL-SP CRYSTAL</t>
  </si>
  <si>
    <t>VIETRI INC - CONSIGNMENT</t>
  </si>
  <si>
    <t>885991074731</t>
  </si>
  <si>
    <t>810034838186</t>
  </si>
  <si>
    <t>LP GOBLET</t>
  </si>
  <si>
    <t>LPA30101</t>
  </si>
  <si>
    <t>663698372165</t>
  </si>
  <si>
    <t>OPT RED DBL OLD FSHND</t>
  </si>
  <si>
    <t>OPT-8812R</t>
  </si>
  <si>
    <t>4003683492496</t>
  </si>
  <si>
    <t>DISC AM BAR BL SCOTCH TM</t>
  </si>
  <si>
    <t>885991178828</t>
  </si>
  <si>
    <t>810034838162</t>
  </si>
  <si>
    <t>LP STEMLESS WINE</t>
  </si>
  <si>
    <t>LPA30601</t>
  </si>
  <si>
    <t>810034838124</t>
  </si>
  <si>
    <t>LP TUMBLER</t>
  </si>
  <si>
    <t>LPA30201</t>
  </si>
  <si>
    <t>11130111702</t>
  </si>
  <si>
    <t>SILVER FOAM MED 17 OZ</t>
  </si>
  <si>
    <t>W J HAGERTY &amp; SONS</t>
  </si>
  <si>
    <t>25466156023</t>
  </si>
  <si>
    <t>WEST 4 WT CHAPEL 3X8 PILBASIC</t>
  </si>
  <si>
    <t>TAG/OLLY OLLY GROUP LLC MCYS CONSIG</t>
  </si>
  <si>
    <t>842094177882</t>
  </si>
  <si>
    <t>Blush Blush Cocktail Party Cocktail Multicolor</t>
  </si>
  <si>
    <t>TRUE BRANDS/TRUE FABRICATIONS</t>
  </si>
  <si>
    <t>37725555959</t>
  </si>
  <si>
    <t>COLORWAVE GRAPHITE</t>
  </si>
  <si>
    <t>8034-5044</t>
  </si>
  <si>
    <t>4003683343118</t>
  </si>
  <si>
    <t>MEDINA TEASPOON</t>
  </si>
  <si>
    <t>TEASPOON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</si>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</sst>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6">
    <xf numFmtId="0" fontId="0" fillId="0" borderId="0" xfId="0"/>
    <xf numFmtId="0" fontId="0" fillId="0" borderId="0" xfId="0" applyBorder="1"/>
    <xf numFmtId="0" fontId="19" fillId="0" borderId="0" xfId="0" applyFont="1" applyAlignment="1">
      <alignment wrapText="1"/>
    </xf>
    <xf numFmtId="1" fontId="19" fillId="0" borderId="0" xfId="0" applyNumberFormat="1" applyFont="1" applyAlignment="1">
      <alignment wrapText="1"/>
    </xf>
    <xf numFmtId="1" fontId="19" fillId="0" borderId="0" xfId="0" applyNumberFormat="1" applyFont="1" applyAlignment="1">
      <alignment horizontal="center" wrapText="1"/>
    </xf>
    <xf numFmtId="164" fontId="19" fillId="0" borderId="0" xfId="0" applyNumberFormat="1" applyFont="1" applyAlignment="1">
      <alignment wrapText="1"/>
    </xf>
    <xf numFmtId="0" fontId="19" fillId="0" borderId="0" xfId="0" applyFont="1" applyAlignment="1">
      <alignment horizontal="center" wrapText="1"/>
    </xf>
    <xf numFmtId="164" fontId="19" fillId="0" borderId="0" xfId="0" applyNumberFormat="1" applyFont="1" applyAlignment="1">
      <alignment horizontal="center" wrapText="1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0"/>
  <sheetViews>
    <sheetView tabSelected="1" workbookViewId="0">
      <selection activeCell="O5" sqref="O5"/>
    </sheetView>
  </sheetViews>
  <sheetFormatPr defaultRowHeight="15" x14ac:dyDescent="0.25"/>
  <cols>
    <col min="1" max="1" width="14.28515625" customWidth="1"/>
    <col min="2" max="2" width="44.85546875" customWidth="1"/>
    <col min="3" max="3" width="13" customWidth="1"/>
    <col min="4" max="5" width="11.85546875" customWidth="1"/>
    <col min="6" max="6" width="13.28515625" customWidth="1"/>
    <col min="7" max="7" width="10.28515625" customWidth="1"/>
    <col min="8" max="8" width="13.5703125" customWidth="1"/>
    <col min="9" max="11" width="11.42578125" customWidth="1"/>
    <col min="12" max="12" width="10.5703125" customWidth="1"/>
    <col min="13" max="13" width="10.85546875" customWidth="1"/>
    <col min="14" max="14" width="12.140625" customWidth="1"/>
    <col min="15" max="15" width="36.5703125" bestFit="1" customWidth="1"/>
    <col min="16" max="17" width="20.7109375" customWidth="1"/>
    <col min="18" max="18" width="64.28515625" customWidth="1"/>
  </cols>
  <sheetData>
    <row r="1" spans="1:14" ht="36" x14ac:dyDescent="0.25">
      <c r="A1" s="15" t="s">
        <v>0</v>
      </c>
      <c r="B1" s="15" t="s">
        <v>1</v>
      </c>
      <c r="C1" s="15" t="s">
        <v>2</v>
      </c>
      <c r="D1" s="15" t="s">
        <v>3</v>
      </c>
      <c r="E1" s="15" t="s">
        <v>4</v>
      </c>
      <c r="F1" s="15" t="s">
        <v>5</v>
      </c>
      <c r="G1" s="15" t="s">
        <v>6</v>
      </c>
      <c r="H1" s="15" t="s">
        <v>7</v>
      </c>
      <c r="I1" s="15" t="s">
        <v>8</v>
      </c>
      <c r="J1" s="15" t="s">
        <v>9</v>
      </c>
      <c r="K1" s="15" t="s">
        <v>10</v>
      </c>
      <c r="L1" s="15"/>
    </row>
    <row r="2" spans="1:14" ht="36" x14ac:dyDescent="0.25">
      <c r="A2" s="8" t="s">
        <v>1978</v>
      </c>
      <c r="B2" s="11">
        <v>14558378</v>
      </c>
      <c r="C2" s="8" t="s">
        <v>11</v>
      </c>
      <c r="D2" s="8" t="s">
        <v>12</v>
      </c>
      <c r="E2" s="9">
        <v>10</v>
      </c>
      <c r="F2" s="9">
        <v>210</v>
      </c>
      <c r="G2" s="8">
        <v>3308</v>
      </c>
      <c r="H2" s="10">
        <v>26883.87</v>
      </c>
      <c r="I2" s="10">
        <v>54089.05</v>
      </c>
      <c r="J2" s="8">
        <v>1821</v>
      </c>
      <c r="K2" s="14">
        <v>16059</v>
      </c>
      <c r="L2" s="14"/>
    </row>
    <row r="3" spans="1:14" x14ac:dyDescent="0.25">
      <c r="A3" s="2"/>
      <c r="B3" s="3"/>
      <c r="C3" s="2"/>
      <c r="D3" s="2"/>
      <c r="E3" s="2"/>
      <c r="F3" s="4"/>
      <c r="G3" s="4"/>
      <c r="H3" s="2"/>
      <c r="I3" s="5"/>
      <c r="J3" s="5"/>
      <c r="K3" s="6"/>
      <c r="L3" s="7"/>
      <c r="M3" s="5"/>
    </row>
    <row r="4" spans="1:14" s="1" customFormat="1" x14ac:dyDescent="0.25"/>
    <row r="8" spans="1:14" s="1" customFormat="1" x14ac:dyDescent="0.25"/>
    <row r="9" spans="1:14" ht="24" x14ac:dyDescent="0.25">
      <c r="A9" s="15" t="s">
        <v>15</v>
      </c>
      <c r="B9" s="15" t="s">
        <v>16</v>
      </c>
      <c r="C9" s="15" t="s">
        <v>17</v>
      </c>
      <c r="D9" s="15" t="s">
        <v>14</v>
      </c>
      <c r="E9" s="15" t="s">
        <v>18</v>
      </c>
      <c r="F9" s="15" t="s">
        <v>19</v>
      </c>
      <c r="G9" s="15" t="s">
        <v>20</v>
      </c>
      <c r="H9" s="15" t="s">
        <v>21</v>
      </c>
      <c r="I9" s="15" t="s">
        <v>13</v>
      </c>
      <c r="J9" s="15" t="s">
        <v>22</v>
      </c>
      <c r="K9" s="15" t="s">
        <v>23</v>
      </c>
      <c r="L9" s="15" t="s">
        <v>24</v>
      </c>
      <c r="M9" s="15" t="s">
        <v>25</v>
      </c>
      <c r="N9" s="15" t="s">
        <v>26</v>
      </c>
    </row>
    <row r="10" spans="1:14" ht="48" x14ac:dyDescent="0.25">
      <c r="A10" s="12" t="s">
        <v>27</v>
      </c>
      <c r="B10" s="8" t="s">
        <v>28</v>
      </c>
      <c r="C10" s="9">
        <v>1</v>
      </c>
      <c r="D10" s="10">
        <v>278</v>
      </c>
      <c r="E10" s="10">
        <v>442.2</v>
      </c>
      <c r="F10" s="9">
        <v>51302</v>
      </c>
      <c r="G10" s="8"/>
      <c r="H10" s="12"/>
      <c r="I10" s="10">
        <v>149.69230769230768</v>
      </c>
      <c r="J10" s="8" t="s">
        <v>29</v>
      </c>
      <c r="K10" s="8" t="s">
        <v>30</v>
      </c>
      <c r="L10" s="8" t="s">
        <v>31</v>
      </c>
      <c r="M10" s="8" t="s">
        <v>32</v>
      </c>
      <c r="N10" s="13" t="str">
        <f>HYPERLINK("http://slimages.macys.com/is/image/MCY/9550744 ")</f>
        <v xml:space="preserve">http://slimages.macys.com/is/image/MCY/9550744 </v>
      </c>
    </row>
    <row r="11" spans="1:14" ht="48" x14ac:dyDescent="0.25">
      <c r="A11" s="12" t="s">
        <v>33</v>
      </c>
      <c r="B11" s="8" t="s">
        <v>34</v>
      </c>
      <c r="C11" s="9">
        <v>1</v>
      </c>
      <c r="D11" s="10">
        <v>270</v>
      </c>
      <c r="E11" s="10">
        <v>380</v>
      </c>
      <c r="F11" s="9">
        <v>40021652</v>
      </c>
      <c r="G11" s="8" t="s">
        <v>35</v>
      </c>
      <c r="H11" s="12" t="s">
        <v>36</v>
      </c>
      <c r="I11" s="10">
        <v>145.38461538461539</v>
      </c>
      <c r="J11" s="8" t="s">
        <v>37</v>
      </c>
      <c r="K11" s="8" t="s">
        <v>38</v>
      </c>
      <c r="L11" s="8" t="s">
        <v>31</v>
      </c>
      <c r="M11" s="8" t="s">
        <v>39</v>
      </c>
      <c r="N11" s="13" t="str">
        <f>HYPERLINK("http://slimages.macys.com/is/image/MCY/8694461 ")</f>
        <v xml:space="preserve">http://slimages.macys.com/is/image/MCY/8694461 </v>
      </c>
    </row>
    <row r="12" spans="1:14" ht="48" x14ac:dyDescent="0.25">
      <c r="A12" s="12" t="s">
        <v>33</v>
      </c>
      <c r="B12" s="8" t="s">
        <v>34</v>
      </c>
      <c r="C12" s="9">
        <v>1</v>
      </c>
      <c r="D12" s="10">
        <v>270</v>
      </c>
      <c r="E12" s="10">
        <v>380</v>
      </c>
      <c r="F12" s="9">
        <v>40021652</v>
      </c>
      <c r="G12" s="8" t="s">
        <v>35</v>
      </c>
      <c r="H12" s="12" t="s">
        <v>36</v>
      </c>
      <c r="I12" s="10">
        <v>145.38461538461539</v>
      </c>
      <c r="J12" s="8" t="s">
        <v>37</v>
      </c>
      <c r="K12" s="8" t="s">
        <v>38</v>
      </c>
      <c r="L12" s="8" t="s">
        <v>31</v>
      </c>
      <c r="M12" s="8" t="s">
        <v>39</v>
      </c>
      <c r="N12" s="13" t="str">
        <f>HYPERLINK("http://slimages.macys.com/is/image/MCY/8694461 ")</f>
        <v xml:space="preserve">http://slimages.macys.com/is/image/MCY/8694461 </v>
      </c>
    </row>
    <row r="13" spans="1:14" ht="48" x14ac:dyDescent="0.25">
      <c r="A13" s="12" t="s">
        <v>40</v>
      </c>
      <c r="B13" s="8" t="s">
        <v>41</v>
      </c>
      <c r="C13" s="9">
        <v>1</v>
      </c>
      <c r="D13" s="10">
        <v>270</v>
      </c>
      <c r="E13" s="10">
        <v>380</v>
      </c>
      <c r="F13" s="9">
        <v>40021661</v>
      </c>
      <c r="G13" s="8" t="s">
        <v>35</v>
      </c>
      <c r="H13" s="12" t="s">
        <v>36</v>
      </c>
      <c r="I13" s="10">
        <v>145.38461538461539</v>
      </c>
      <c r="J13" s="8" t="s">
        <v>37</v>
      </c>
      <c r="K13" s="8" t="s">
        <v>38</v>
      </c>
      <c r="L13" s="8" t="s">
        <v>31</v>
      </c>
      <c r="M13" s="8" t="s">
        <v>39</v>
      </c>
      <c r="N13" s="13" t="str">
        <f>HYPERLINK("http://slimages.macys.com/is/image/MCY/9614187 ")</f>
        <v xml:space="preserve">http://slimages.macys.com/is/image/MCY/9614187 </v>
      </c>
    </row>
    <row r="14" spans="1:14" ht="60" x14ac:dyDescent="0.25">
      <c r="A14" s="12" t="s">
        <v>42</v>
      </c>
      <c r="B14" s="8" t="s">
        <v>43</v>
      </c>
      <c r="C14" s="9">
        <v>1</v>
      </c>
      <c r="D14" s="10">
        <v>240</v>
      </c>
      <c r="E14" s="10">
        <v>379.99</v>
      </c>
      <c r="F14" s="9" t="s">
        <v>44</v>
      </c>
      <c r="G14" s="8" t="s">
        <v>45</v>
      </c>
      <c r="H14" s="12" t="s">
        <v>46</v>
      </c>
      <c r="I14" s="10">
        <v>129.23076923076923</v>
      </c>
      <c r="J14" s="8" t="s">
        <v>37</v>
      </c>
      <c r="K14" s="8" t="s">
        <v>47</v>
      </c>
      <c r="L14" s="8"/>
      <c r="M14" s="8"/>
      <c r="N14" s="13" t="str">
        <f>HYPERLINK("http://slimages.macys.com/is/image/MCY/17967065 ")</f>
        <v xml:space="preserve">http://slimages.macys.com/is/image/MCY/17967065 </v>
      </c>
    </row>
    <row r="15" spans="1:14" ht="60" x14ac:dyDescent="0.25">
      <c r="A15" s="12" t="s">
        <v>48</v>
      </c>
      <c r="B15" s="8" t="s">
        <v>49</v>
      </c>
      <c r="C15" s="9">
        <v>1</v>
      </c>
      <c r="D15" s="10">
        <v>237.5</v>
      </c>
      <c r="E15" s="10">
        <v>475</v>
      </c>
      <c r="F15" s="9">
        <v>40026610</v>
      </c>
      <c r="G15" s="8" t="s">
        <v>50</v>
      </c>
      <c r="H15" s="12" t="s">
        <v>51</v>
      </c>
      <c r="I15" s="10">
        <v>127.88461538461539</v>
      </c>
      <c r="J15" s="8" t="s">
        <v>52</v>
      </c>
      <c r="K15" s="8" t="s">
        <v>53</v>
      </c>
      <c r="L15" s="8" t="s">
        <v>31</v>
      </c>
      <c r="M15" s="8" t="s">
        <v>54</v>
      </c>
      <c r="N15" s="13" t="str">
        <f>HYPERLINK("http://images.bloomingdales.com/is/image/BLM/9366526 ")</f>
        <v xml:space="preserve">http://images.bloomingdales.com/is/image/BLM/9366526 </v>
      </c>
    </row>
    <row r="16" spans="1:14" ht="60" x14ac:dyDescent="0.25">
      <c r="A16" s="12" t="s">
        <v>55</v>
      </c>
      <c r="B16" s="8" t="s">
        <v>56</v>
      </c>
      <c r="C16" s="9">
        <v>1</v>
      </c>
      <c r="D16" s="10">
        <v>210</v>
      </c>
      <c r="E16" s="10">
        <v>299.99</v>
      </c>
      <c r="F16" s="9" t="s">
        <v>57</v>
      </c>
      <c r="G16" s="8" t="s">
        <v>58</v>
      </c>
      <c r="H16" s="12" t="s">
        <v>46</v>
      </c>
      <c r="I16" s="10">
        <v>113.07692307692307</v>
      </c>
      <c r="J16" s="8" t="s">
        <v>37</v>
      </c>
      <c r="K16" s="8" t="s">
        <v>47</v>
      </c>
      <c r="L16" s="8" t="s">
        <v>31</v>
      </c>
      <c r="M16" s="8" t="s">
        <v>59</v>
      </c>
      <c r="N16" s="13" t="str">
        <f>HYPERLINK("http://slimages.macys.com/is/image/MCY/11177303 ")</f>
        <v xml:space="preserve">http://slimages.macys.com/is/image/MCY/11177303 </v>
      </c>
    </row>
    <row r="17" spans="1:14" ht="180" x14ac:dyDescent="0.25">
      <c r="A17" s="12" t="s">
        <v>60</v>
      </c>
      <c r="B17" s="8" t="s">
        <v>61</v>
      </c>
      <c r="C17" s="9">
        <v>1</v>
      </c>
      <c r="D17" s="10">
        <v>173</v>
      </c>
      <c r="E17" s="10">
        <v>327.8</v>
      </c>
      <c r="F17" s="9" t="s">
        <v>62</v>
      </c>
      <c r="G17" s="8"/>
      <c r="H17" s="12"/>
      <c r="I17" s="10">
        <v>93.153846153846146</v>
      </c>
      <c r="J17" s="8" t="s">
        <v>29</v>
      </c>
      <c r="K17" s="8" t="s">
        <v>30</v>
      </c>
      <c r="L17" s="8" t="s">
        <v>31</v>
      </c>
      <c r="M17" s="8" t="s">
        <v>63</v>
      </c>
      <c r="N17" s="13" t="str">
        <f>HYPERLINK("http://slimages.macys.com/is/image/MCY/8252733 ")</f>
        <v xml:space="preserve">http://slimages.macys.com/is/image/MCY/8252733 </v>
      </c>
    </row>
    <row r="18" spans="1:14" ht="48" x14ac:dyDescent="0.25">
      <c r="A18" s="12" t="s">
        <v>64</v>
      </c>
      <c r="B18" s="8" t="s">
        <v>65</v>
      </c>
      <c r="C18" s="9">
        <v>1</v>
      </c>
      <c r="D18" s="10">
        <v>171.5</v>
      </c>
      <c r="E18" s="10">
        <v>299.99</v>
      </c>
      <c r="F18" s="9" t="s">
        <v>66</v>
      </c>
      <c r="G18" s="8" t="s">
        <v>67</v>
      </c>
      <c r="H18" s="12"/>
      <c r="I18" s="10">
        <v>92.34615384615384</v>
      </c>
      <c r="J18" s="8" t="s">
        <v>37</v>
      </c>
      <c r="K18" s="8" t="s">
        <v>68</v>
      </c>
      <c r="L18" s="8" t="s">
        <v>31</v>
      </c>
      <c r="M18" s="8" t="s">
        <v>69</v>
      </c>
      <c r="N18" s="13" t="str">
        <f>HYPERLINK("http://slimages.macys.com/is/image/MCY/1320362 ")</f>
        <v xml:space="preserve">http://slimages.macys.com/is/image/MCY/1320362 </v>
      </c>
    </row>
    <row r="19" spans="1:14" ht="60" x14ac:dyDescent="0.25">
      <c r="A19" s="12" t="s">
        <v>70</v>
      </c>
      <c r="B19" s="8" t="s">
        <v>71</v>
      </c>
      <c r="C19" s="9">
        <v>1</v>
      </c>
      <c r="D19" s="10">
        <v>168.25</v>
      </c>
      <c r="E19" s="10">
        <v>299</v>
      </c>
      <c r="F19" s="9">
        <v>130737</v>
      </c>
      <c r="G19" s="8" t="s">
        <v>50</v>
      </c>
      <c r="H19" s="12" t="s">
        <v>72</v>
      </c>
      <c r="I19" s="10">
        <v>90.596153846153854</v>
      </c>
      <c r="J19" s="8" t="s">
        <v>73</v>
      </c>
      <c r="K19" s="8" t="s">
        <v>74</v>
      </c>
      <c r="L19" s="8" t="s">
        <v>31</v>
      </c>
      <c r="M19" s="8" t="s">
        <v>75</v>
      </c>
      <c r="N19" s="13" t="str">
        <f>HYPERLINK("http://slimages.macys.com/is/image/MCY/10101027 ")</f>
        <v xml:space="preserve">http://slimages.macys.com/is/image/MCY/10101027 </v>
      </c>
    </row>
    <row r="20" spans="1:14" ht="60" x14ac:dyDescent="0.25">
      <c r="A20" s="12" t="s">
        <v>76</v>
      </c>
      <c r="B20" s="8" t="s">
        <v>77</v>
      </c>
      <c r="C20" s="9">
        <v>1</v>
      </c>
      <c r="D20" s="10">
        <v>147.5</v>
      </c>
      <c r="E20" s="10">
        <v>295</v>
      </c>
      <c r="F20" s="9">
        <v>1531</v>
      </c>
      <c r="G20" s="8" t="s">
        <v>50</v>
      </c>
      <c r="H20" s="12" t="s">
        <v>46</v>
      </c>
      <c r="I20" s="10">
        <v>79.42307692307692</v>
      </c>
      <c r="J20" s="8" t="s">
        <v>73</v>
      </c>
      <c r="K20" s="8" t="s">
        <v>78</v>
      </c>
      <c r="L20" s="8" t="s">
        <v>79</v>
      </c>
      <c r="M20" s="8" t="s">
        <v>80</v>
      </c>
      <c r="N20" s="13" t="str">
        <f>HYPERLINK("http://images.bloomingdales.com/is/image/BLM/8387272 ")</f>
        <v xml:space="preserve">http://images.bloomingdales.com/is/image/BLM/8387272 </v>
      </c>
    </row>
    <row r="21" spans="1:14" ht="48" x14ac:dyDescent="0.25">
      <c r="A21" s="12" t="s">
        <v>81</v>
      </c>
      <c r="B21" s="8" t="s">
        <v>82</v>
      </c>
      <c r="C21" s="9">
        <v>1</v>
      </c>
      <c r="D21" s="10">
        <v>146</v>
      </c>
      <c r="E21" s="10">
        <v>279.99</v>
      </c>
      <c r="F21" s="9" t="s">
        <v>83</v>
      </c>
      <c r="G21" s="8" t="s">
        <v>84</v>
      </c>
      <c r="H21" s="12" t="s">
        <v>85</v>
      </c>
      <c r="I21" s="10">
        <v>78.615384615384613</v>
      </c>
      <c r="J21" s="8" t="s">
        <v>37</v>
      </c>
      <c r="K21" s="8" t="s">
        <v>86</v>
      </c>
      <c r="L21" s="8" t="s">
        <v>87</v>
      </c>
      <c r="M21" s="8" t="s">
        <v>39</v>
      </c>
      <c r="N21" s="13" t="str">
        <f>HYPERLINK("http://slimages.macys.com/is/image/MCY/1464406 ")</f>
        <v xml:space="preserve">http://slimages.macys.com/is/image/MCY/1464406 </v>
      </c>
    </row>
    <row r="22" spans="1:14" ht="48" x14ac:dyDescent="0.25">
      <c r="A22" s="12" t="s">
        <v>88</v>
      </c>
      <c r="B22" s="8" t="s">
        <v>89</v>
      </c>
      <c r="C22" s="9">
        <v>1</v>
      </c>
      <c r="D22" s="10">
        <v>145</v>
      </c>
      <c r="E22" s="10">
        <v>259.99</v>
      </c>
      <c r="F22" s="9" t="s">
        <v>90</v>
      </c>
      <c r="G22" s="8" t="s">
        <v>50</v>
      </c>
      <c r="H22" s="12"/>
      <c r="I22" s="10">
        <v>78.07692307692308</v>
      </c>
      <c r="J22" s="8" t="s">
        <v>37</v>
      </c>
      <c r="K22" s="8" t="s">
        <v>86</v>
      </c>
      <c r="L22" s="8" t="s">
        <v>87</v>
      </c>
      <c r="M22" s="8" t="s">
        <v>39</v>
      </c>
      <c r="N22" s="13" t="str">
        <f>HYPERLINK("http://slimages.macys.com/is/image/MCY/751009 ")</f>
        <v xml:space="preserve">http://slimages.macys.com/is/image/MCY/751009 </v>
      </c>
    </row>
    <row r="23" spans="1:14" ht="48" x14ac:dyDescent="0.25">
      <c r="A23" s="12" t="s">
        <v>91</v>
      </c>
      <c r="B23" s="8" t="s">
        <v>92</v>
      </c>
      <c r="C23" s="9">
        <v>1</v>
      </c>
      <c r="D23" s="10">
        <v>143</v>
      </c>
      <c r="E23" s="10">
        <v>254.95</v>
      </c>
      <c r="F23" s="9" t="s">
        <v>93</v>
      </c>
      <c r="G23" s="8" t="s">
        <v>50</v>
      </c>
      <c r="H23" s="12" t="s">
        <v>94</v>
      </c>
      <c r="I23" s="10">
        <v>77</v>
      </c>
      <c r="J23" s="8" t="s">
        <v>95</v>
      </c>
      <c r="K23" s="8" t="s">
        <v>96</v>
      </c>
      <c r="L23" s="8"/>
      <c r="M23" s="8"/>
      <c r="N23" s="13" t="str">
        <f>HYPERLINK("http://slimages.macys.com/is/image/MCY/2430929 ")</f>
        <v xml:space="preserve">http://slimages.macys.com/is/image/MCY/2430929 </v>
      </c>
    </row>
    <row r="24" spans="1:14" ht="60" x14ac:dyDescent="0.25">
      <c r="A24" s="12" t="s">
        <v>97</v>
      </c>
      <c r="B24" s="8" t="s">
        <v>98</v>
      </c>
      <c r="C24" s="9">
        <v>1</v>
      </c>
      <c r="D24" s="10">
        <v>140</v>
      </c>
      <c r="E24" s="10">
        <v>199.99</v>
      </c>
      <c r="F24" s="9" t="s">
        <v>99</v>
      </c>
      <c r="G24" s="8" t="s">
        <v>45</v>
      </c>
      <c r="H24" s="12" t="s">
        <v>46</v>
      </c>
      <c r="I24" s="10">
        <v>75.384615384615387</v>
      </c>
      <c r="J24" s="8" t="s">
        <v>37</v>
      </c>
      <c r="K24" s="8" t="s">
        <v>47</v>
      </c>
      <c r="L24" s="8" t="s">
        <v>31</v>
      </c>
      <c r="M24" s="8" t="s">
        <v>69</v>
      </c>
      <c r="N24" s="13" t="str">
        <f>HYPERLINK("http://slimages.macys.com/is/image/MCY/9992639 ")</f>
        <v xml:space="preserve">http://slimages.macys.com/is/image/MCY/9992639 </v>
      </c>
    </row>
    <row r="25" spans="1:14" ht="60" x14ac:dyDescent="0.25">
      <c r="A25" s="12" t="s">
        <v>100</v>
      </c>
      <c r="B25" s="8" t="s">
        <v>101</v>
      </c>
      <c r="C25" s="9">
        <v>1</v>
      </c>
      <c r="D25" s="10">
        <v>140</v>
      </c>
      <c r="E25" s="10">
        <v>197.99</v>
      </c>
      <c r="F25" s="9" t="s">
        <v>102</v>
      </c>
      <c r="G25" s="8" t="s">
        <v>45</v>
      </c>
      <c r="H25" s="12" t="s">
        <v>46</v>
      </c>
      <c r="I25" s="10">
        <v>75.384615384615387</v>
      </c>
      <c r="J25" s="8" t="s">
        <v>37</v>
      </c>
      <c r="K25" s="8" t="s">
        <v>47</v>
      </c>
      <c r="L25" s="8"/>
      <c r="M25" s="8"/>
      <c r="N25" s="13" t="str">
        <f>HYPERLINK("http://slimages.macys.com/is/image/MCY/17971677 ")</f>
        <v xml:space="preserve">http://slimages.macys.com/is/image/MCY/17971677 </v>
      </c>
    </row>
    <row r="26" spans="1:14" ht="60" x14ac:dyDescent="0.25">
      <c r="A26" s="12" t="s">
        <v>103</v>
      </c>
      <c r="B26" s="8" t="s">
        <v>104</v>
      </c>
      <c r="C26" s="9">
        <v>1</v>
      </c>
      <c r="D26" s="10">
        <v>125</v>
      </c>
      <c r="E26" s="10">
        <v>250</v>
      </c>
      <c r="F26" s="9" t="s">
        <v>105</v>
      </c>
      <c r="G26" s="8" t="s">
        <v>35</v>
      </c>
      <c r="H26" s="12" t="s">
        <v>106</v>
      </c>
      <c r="I26" s="10">
        <v>67.307692307692307</v>
      </c>
      <c r="J26" s="8" t="s">
        <v>37</v>
      </c>
      <c r="K26" s="8" t="s">
        <v>86</v>
      </c>
      <c r="L26" s="8" t="s">
        <v>79</v>
      </c>
      <c r="M26" s="8" t="s">
        <v>39</v>
      </c>
      <c r="N26" s="13" t="str">
        <f>HYPERLINK("http://images.bloomingdales.com/is/image/BLM/9701751 ")</f>
        <v xml:space="preserve">http://images.bloomingdales.com/is/image/BLM/9701751 </v>
      </c>
    </row>
    <row r="27" spans="1:14" ht="48" x14ac:dyDescent="0.25">
      <c r="A27" s="12" t="s">
        <v>107</v>
      </c>
      <c r="B27" s="8" t="s">
        <v>108</v>
      </c>
      <c r="C27" s="9">
        <v>1</v>
      </c>
      <c r="D27" s="10">
        <v>125</v>
      </c>
      <c r="E27" s="10">
        <v>219.99</v>
      </c>
      <c r="F27" s="9" t="s">
        <v>109</v>
      </c>
      <c r="G27" s="8" t="s">
        <v>35</v>
      </c>
      <c r="H27" s="12" t="s">
        <v>106</v>
      </c>
      <c r="I27" s="10">
        <v>67.307692307692307</v>
      </c>
      <c r="J27" s="8" t="s">
        <v>37</v>
      </c>
      <c r="K27" s="8" t="s">
        <v>86</v>
      </c>
      <c r="L27" s="8"/>
      <c r="M27" s="8" t="s">
        <v>39</v>
      </c>
      <c r="N27" s="13" t="str">
        <f>HYPERLINK("http://slimages.macys.com/is/image/MCY/272338 ")</f>
        <v xml:space="preserve">http://slimages.macys.com/is/image/MCY/272338 </v>
      </c>
    </row>
    <row r="28" spans="1:14" ht="48" x14ac:dyDescent="0.25">
      <c r="A28" s="12" t="s">
        <v>110</v>
      </c>
      <c r="B28" s="8" t="s">
        <v>111</v>
      </c>
      <c r="C28" s="9">
        <v>1</v>
      </c>
      <c r="D28" s="10">
        <v>125</v>
      </c>
      <c r="E28" s="10">
        <v>250</v>
      </c>
      <c r="F28" s="9">
        <v>139937</v>
      </c>
      <c r="G28" s="8" t="s">
        <v>50</v>
      </c>
      <c r="H28" s="12" t="s">
        <v>46</v>
      </c>
      <c r="I28" s="10">
        <v>67.307692307692307</v>
      </c>
      <c r="J28" s="8" t="s">
        <v>52</v>
      </c>
      <c r="K28" s="8" t="s">
        <v>53</v>
      </c>
      <c r="L28" s="8"/>
      <c r="M28" s="8" t="s">
        <v>54</v>
      </c>
      <c r="N28" s="13" t="str">
        <f>HYPERLINK("http://slimages.macys.com/is/image/MCY/217482 ")</f>
        <v xml:space="preserve">http://slimages.macys.com/is/image/MCY/217482 </v>
      </c>
    </row>
    <row r="29" spans="1:14" ht="48" x14ac:dyDescent="0.25">
      <c r="A29" s="12" t="s">
        <v>112</v>
      </c>
      <c r="B29" s="8" t="s">
        <v>113</v>
      </c>
      <c r="C29" s="9">
        <v>1</v>
      </c>
      <c r="D29" s="10">
        <v>115</v>
      </c>
      <c r="E29" s="10">
        <v>230</v>
      </c>
      <c r="F29" s="9" t="s">
        <v>114</v>
      </c>
      <c r="G29" s="8" t="s">
        <v>35</v>
      </c>
      <c r="H29" s="12" t="s">
        <v>115</v>
      </c>
      <c r="I29" s="10">
        <v>61.92307692307692</v>
      </c>
      <c r="J29" s="8" t="s">
        <v>37</v>
      </c>
      <c r="K29" s="8" t="s">
        <v>116</v>
      </c>
      <c r="L29" s="8" t="s">
        <v>79</v>
      </c>
      <c r="M29" s="8" t="s">
        <v>39</v>
      </c>
      <c r="N29" s="13" t="str">
        <f>HYPERLINK("http://slimages.macys.com/is/image/MCY/1921362 ")</f>
        <v xml:space="preserve">http://slimages.macys.com/is/image/MCY/1921362 </v>
      </c>
    </row>
    <row r="30" spans="1:14" ht="48" x14ac:dyDescent="0.25">
      <c r="A30" s="12" t="s">
        <v>117</v>
      </c>
      <c r="B30" s="8" t="s">
        <v>118</v>
      </c>
      <c r="C30" s="9">
        <v>1</v>
      </c>
      <c r="D30" s="10">
        <v>115</v>
      </c>
      <c r="E30" s="10">
        <v>229.99</v>
      </c>
      <c r="F30" s="9" t="s">
        <v>119</v>
      </c>
      <c r="G30" s="8" t="s">
        <v>35</v>
      </c>
      <c r="H30" s="12" t="s">
        <v>85</v>
      </c>
      <c r="I30" s="10">
        <v>61.92307692307692</v>
      </c>
      <c r="J30" s="8" t="s">
        <v>37</v>
      </c>
      <c r="K30" s="8" t="s">
        <v>86</v>
      </c>
      <c r="L30" s="8"/>
      <c r="M30" s="8" t="s">
        <v>39</v>
      </c>
      <c r="N30" s="13" t="str">
        <f>HYPERLINK("http://slimages.macys.com/is/image/MCY/78368 ")</f>
        <v xml:space="preserve">http://slimages.macys.com/is/image/MCY/78368 </v>
      </c>
    </row>
    <row r="31" spans="1:14" ht="48" x14ac:dyDescent="0.25">
      <c r="A31" s="12" t="s">
        <v>120</v>
      </c>
      <c r="B31" s="8" t="s">
        <v>121</v>
      </c>
      <c r="C31" s="9">
        <v>1</v>
      </c>
      <c r="D31" s="10">
        <v>107</v>
      </c>
      <c r="E31" s="10">
        <v>235</v>
      </c>
      <c r="F31" s="9">
        <v>144702</v>
      </c>
      <c r="G31" s="8" t="s">
        <v>50</v>
      </c>
      <c r="H31" s="12" t="s">
        <v>46</v>
      </c>
      <c r="I31" s="10">
        <v>57.61538461538462</v>
      </c>
      <c r="J31" s="8" t="s">
        <v>122</v>
      </c>
      <c r="K31" s="8" t="s">
        <v>74</v>
      </c>
      <c r="L31" s="8" t="s">
        <v>31</v>
      </c>
      <c r="M31" s="8" t="s">
        <v>123</v>
      </c>
      <c r="N31" s="13" t="str">
        <f>HYPERLINK("http://slimages.macys.com/is/image/MCY/8483204 ")</f>
        <v xml:space="preserve">http://slimages.macys.com/is/image/MCY/8483204 </v>
      </c>
    </row>
    <row r="32" spans="1:14" ht="60" x14ac:dyDescent="0.25">
      <c r="A32" s="12" t="s">
        <v>124</v>
      </c>
      <c r="B32" s="8" t="s">
        <v>125</v>
      </c>
      <c r="C32" s="9">
        <v>1</v>
      </c>
      <c r="D32" s="10">
        <v>107</v>
      </c>
      <c r="E32" s="10">
        <v>200</v>
      </c>
      <c r="F32" s="9">
        <v>175768</v>
      </c>
      <c r="G32" s="8" t="s">
        <v>50</v>
      </c>
      <c r="H32" s="12" t="s">
        <v>46</v>
      </c>
      <c r="I32" s="10">
        <v>57.61538461538462</v>
      </c>
      <c r="J32" s="8" t="s">
        <v>73</v>
      </c>
      <c r="K32" s="8" t="s">
        <v>74</v>
      </c>
      <c r="L32" s="8" t="s">
        <v>126</v>
      </c>
      <c r="M32" s="8" t="s">
        <v>127</v>
      </c>
      <c r="N32" s="13" t="str">
        <f>HYPERLINK("http://images.bloomingdales.com/is/image/BLM/9467903 ")</f>
        <v xml:space="preserve">http://images.bloomingdales.com/is/image/BLM/9467903 </v>
      </c>
    </row>
    <row r="33" spans="1:14" ht="48" x14ac:dyDescent="0.25">
      <c r="A33" s="12" t="s">
        <v>120</v>
      </c>
      <c r="B33" s="8" t="s">
        <v>128</v>
      </c>
      <c r="C33" s="9">
        <v>1</v>
      </c>
      <c r="D33" s="10">
        <v>107</v>
      </c>
      <c r="E33" s="10">
        <v>235</v>
      </c>
      <c r="F33" s="9">
        <v>144702</v>
      </c>
      <c r="G33" s="8" t="s">
        <v>50</v>
      </c>
      <c r="H33" s="12" t="s">
        <v>46</v>
      </c>
      <c r="I33" s="10">
        <v>57.61538461538462</v>
      </c>
      <c r="J33" s="8" t="s">
        <v>73</v>
      </c>
      <c r="K33" s="8" t="s">
        <v>74</v>
      </c>
      <c r="L33" s="8" t="s">
        <v>31</v>
      </c>
      <c r="M33" s="8" t="s">
        <v>123</v>
      </c>
      <c r="N33" s="13" t="str">
        <f>HYPERLINK("http://slimages.macys.com/is/image/MCY/8483204 ")</f>
        <v xml:space="preserve">http://slimages.macys.com/is/image/MCY/8483204 </v>
      </c>
    </row>
    <row r="34" spans="1:14" ht="48" x14ac:dyDescent="0.25">
      <c r="A34" s="12" t="s">
        <v>129</v>
      </c>
      <c r="B34" s="8" t="s">
        <v>130</v>
      </c>
      <c r="C34" s="9">
        <v>1</v>
      </c>
      <c r="D34" s="10">
        <v>105</v>
      </c>
      <c r="E34" s="10">
        <v>210</v>
      </c>
      <c r="F34" s="9">
        <v>40033483</v>
      </c>
      <c r="G34" s="8" t="s">
        <v>50</v>
      </c>
      <c r="H34" s="12"/>
      <c r="I34" s="10">
        <v>56.538461538461533</v>
      </c>
      <c r="J34" s="8" t="s">
        <v>52</v>
      </c>
      <c r="K34" s="8" t="s">
        <v>53</v>
      </c>
      <c r="L34" s="8"/>
      <c r="M34" s="8"/>
      <c r="N34" s="13" t="str">
        <f>HYPERLINK("http://slimages.macys.com/is/image/MCY/343717 ")</f>
        <v xml:space="preserve">http://slimages.macys.com/is/image/MCY/343717 </v>
      </c>
    </row>
    <row r="35" spans="1:14" ht="48" x14ac:dyDescent="0.25">
      <c r="A35" s="12" t="s">
        <v>131</v>
      </c>
      <c r="B35" s="8" t="s">
        <v>132</v>
      </c>
      <c r="C35" s="9">
        <v>1</v>
      </c>
      <c r="D35" s="10">
        <v>105</v>
      </c>
      <c r="E35" s="10">
        <v>180</v>
      </c>
      <c r="F35" s="9">
        <v>1006100</v>
      </c>
      <c r="G35" s="8" t="s">
        <v>133</v>
      </c>
      <c r="H35" s="12" t="s">
        <v>46</v>
      </c>
      <c r="I35" s="10">
        <v>56.538461538461533</v>
      </c>
      <c r="J35" s="8" t="s">
        <v>73</v>
      </c>
      <c r="K35" s="8" t="s">
        <v>134</v>
      </c>
      <c r="L35" s="8"/>
      <c r="M35" s="8" t="s">
        <v>69</v>
      </c>
      <c r="N35" s="13" t="str">
        <f>HYPERLINK("http://slimages.macys.com/is/image/MCY/1845020 ")</f>
        <v xml:space="preserve">http://slimages.macys.com/is/image/MCY/1845020 </v>
      </c>
    </row>
    <row r="36" spans="1:14" ht="48" x14ac:dyDescent="0.25">
      <c r="A36" s="12" t="s">
        <v>135</v>
      </c>
      <c r="B36" s="8" t="s">
        <v>136</v>
      </c>
      <c r="C36" s="9">
        <v>1</v>
      </c>
      <c r="D36" s="10">
        <v>104.71</v>
      </c>
      <c r="E36" s="10">
        <v>209.99</v>
      </c>
      <c r="F36" s="9">
        <v>5212627</v>
      </c>
      <c r="G36" s="8" t="s">
        <v>137</v>
      </c>
      <c r="H36" s="12"/>
      <c r="I36" s="10">
        <v>56.382307692307691</v>
      </c>
      <c r="J36" s="8" t="s">
        <v>138</v>
      </c>
      <c r="K36" s="8" t="s">
        <v>139</v>
      </c>
      <c r="L36" s="8" t="s">
        <v>31</v>
      </c>
      <c r="M36" s="8" t="s">
        <v>140</v>
      </c>
      <c r="N36" s="13" t="str">
        <f>HYPERLINK("http://slimages.macys.com/is/image/MCY/15898443 ")</f>
        <v xml:space="preserve">http://slimages.macys.com/is/image/MCY/15898443 </v>
      </c>
    </row>
    <row r="37" spans="1:14" ht="48" x14ac:dyDescent="0.25">
      <c r="A37" s="12" t="s">
        <v>141</v>
      </c>
      <c r="B37" s="8" t="s">
        <v>142</v>
      </c>
      <c r="C37" s="9">
        <v>1</v>
      </c>
      <c r="D37" s="10">
        <v>100</v>
      </c>
      <c r="E37" s="10">
        <v>199.99</v>
      </c>
      <c r="F37" s="9" t="s">
        <v>143</v>
      </c>
      <c r="G37" s="8" t="s">
        <v>144</v>
      </c>
      <c r="H37" s="12"/>
      <c r="I37" s="10">
        <v>53.846153846153847</v>
      </c>
      <c r="J37" s="8" t="s">
        <v>37</v>
      </c>
      <c r="K37" s="8" t="s">
        <v>86</v>
      </c>
      <c r="L37" s="8" t="s">
        <v>31</v>
      </c>
      <c r="M37" s="8" t="s">
        <v>69</v>
      </c>
      <c r="N37" s="13" t="str">
        <f>HYPERLINK("http://slimages.macys.com/is/image/MCY/10982820 ")</f>
        <v xml:space="preserve">http://slimages.macys.com/is/image/MCY/10982820 </v>
      </c>
    </row>
    <row r="38" spans="1:14" ht="48" x14ac:dyDescent="0.25">
      <c r="A38" s="12" t="s">
        <v>145</v>
      </c>
      <c r="B38" s="8" t="s">
        <v>146</v>
      </c>
      <c r="C38" s="9">
        <v>2</v>
      </c>
      <c r="D38" s="10">
        <v>100</v>
      </c>
      <c r="E38" s="10">
        <v>160</v>
      </c>
      <c r="F38" s="9">
        <v>156729</v>
      </c>
      <c r="G38" s="8" t="s">
        <v>50</v>
      </c>
      <c r="H38" s="12"/>
      <c r="I38" s="10">
        <v>53.846153846153847</v>
      </c>
      <c r="J38" s="8" t="s">
        <v>52</v>
      </c>
      <c r="K38" s="8" t="s">
        <v>53</v>
      </c>
      <c r="L38" s="8"/>
      <c r="M38" s="8" t="s">
        <v>54</v>
      </c>
      <c r="N38" s="13" t="str">
        <f>HYPERLINK("http://slimages.macys.com/is/image/MCY/9462085 ")</f>
        <v xml:space="preserve">http://slimages.macys.com/is/image/MCY/9462085 </v>
      </c>
    </row>
    <row r="39" spans="1:14" ht="48" x14ac:dyDescent="0.25">
      <c r="A39" s="12" t="s">
        <v>145</v>
      </c>
      <c r="B39" s="8" t="s">
        <v>146</v>
      </c>
      <c r="C39" s="9">
        <v>1</v>
      </c>
      <c r="D39" s="10">
        <v>100</v>
      </c>
      <c r="E39" s="10">
        <v>160</v>
      </c>
      <c r="F39" s="9">
        <v>156729</v>
      </c>
      <c r="G39" s="8" t="s">
        <v>50</v>
      </c>
      <c r="H39" s="12"/>
      <c r="I39" s="10">
        <v>53.846153846153847</v>
      </c>
      <c r="J39" s="8" t="s">
        <v>52</v>
      </c>
      <c r="K39" s="8" t="s">
        <v>53</v>
      </c>
      <c r="L39" s="8"/>
      <c r="M39" s="8" t="s">
        <v>54</v>
      </c>
      <c r="N39" s="13" t="str">
        <f>HYPERLINK("http://slimages.macys.com/is/image/MCY/9462085 ")</f>
        <v xml:space="preserve">http://slimages.macys.com/is/image/MCY/9462085 </v>
      </c>
    </row>
    <row r="40" spans="1:14" ht="240" x14ac:dyDescent="0.25">
      <c r="A40" s="12" t="s">
        <v>147</v>
      </c>
      <c r="B40" s="8" t="s">
        <v>148</v>
      </c>
      <c r="C40" s="9">
        <v>1</v>
      </c>
      <c r="D40" s="10">
        <v>97</v>
      </c>
      <c r="E40" s="10">
        <v>213.4</v>
      </c>
      <c r="F40" s="9">
        <v>9226</v>
      </c>
      <c r="G40" s="8"/>
      <c r="H40" s="12"/>
      <c r="I40" s="10">
        <v>52.230769230769234</v>
      </c>
      <c r="J40" s="8" t="s">
        <v>29</v>
      </c>
      <c r="K40" s="8" t="s">
        <v>30</v>
      </c>
      <c r="L40" s="8" t="s">
        <v>31</v>
      </c>
      <c r="M40" s="8" t="s">
        <v>149</v>
      </c>
      <c r="N40" s="13" t="str">
        <f>HYPERLINK("http://slimages.macys.com/is/image/MCY/9770218 ")</f>
        <v xml:space="preserve">http://slimages.macys.com/is/image/MCY/9770218 </v>
      </c>
    </row>
    <row r="41" spans="1:14" ht="48" x14ac:dyDescent="0.25">
      <c r="A41" s="12" t="s">
        <v>150</v>
      </c>
      <c r="B41" s="8" t="s">
        <v>151</v>
      </c>
      <c r="C41" s="9">
        <v>1</v>
      </c>
      <c r="D41" s="10">
        <v>95</v>
      </c>
      <c r="E41" s="10">
        <v>189.99</v>
      </c>
      <c r="F41" s="9" t="s">
        <v>152</v>
      </c>
      <c r="G41" s="8" t="s">
        <v>153</v>
      </c>
      <c r="H41" s="12" t="s">
        <v>46</v>
      </c>
      <c r="I41" s="10">
        <v>51.153846153846153</v>
      </c>
      <c r="J41" s="8" t="s">
        <v>29</v>
      </c>
      <c r="K41" s="8" t="s">
        <v>154</v>
      </c>
      <c r="L41" s="8" t="s">
        <v>79</v>
      </c>
      <c r="M41" s="8" t="s">
        <v>155</v>
      </c>
      <c r="N41" s="13" t="str">
        <f>HYPERLINK("http://slimages.macys.com/is/image/MCY/14638462 ")</f>
        <v xml:space="preserve">http://slimages.macys.com/is/image/MCY/14638462 </v>
      </c>
    </row>
    <row r="42" spans="1:14" ht="60" x14ac:dyDescent="0.25">
      <c r="A42" s="12" t="s">
        <v>156</v>
      </c>
      <c r="B42" s="8" t="s">
        <v>157</v>
      </c>
      <c r="C42" s="9">
        <v>1</v>
      </c>
      <c r="D42" s="10">
        <v>94.29</v>
      </c>
      <c r="E42" s="10">
        <v>129.99</v>
      </c>
      <c r="F42" s="9" t="s">
        <v>158</v>
      </c>
      <c r="G42" s="8" t="s">
        <v>50</v>
      </c>
      <c r="H42" s="12" t="s">
        <v>46</v>
      </c>
      <c r="I42" s="10">
        <v>50.771538461538462</v>
      </c>
      <c r="J42" s="8" t="s">
        <v>29</v>
      </c>
      <c r="K42" s="8" t="s">
        <v>159</v>
      </c>
      <c r="L42" s="8" t="s">
        <v>31</v>
      </c>
      <c r="M42" s="8" t="s">
        <v>160</v>
      </c>
      <c r="N42" s="13" t="str">
        <f>HYPERLINK("http://slimages.macys.com/is/image/MCY/3835683 ")</f>
        <v xml:space="preserve">http://slimages.macys.com/is/image/MCY/3835683 </v>
      </c>
    </row>
    <row r="43" spans="1:14" ht="60" x14ac:dyDescent="0.25">
      <c r="A43" s="12" t="s">
        <v>161</v>
      </c>
      <c r="B43" s="8" t="s">
        <v>162</v>
      </c>
      <c r="C43" s="9">
        <v>1</v>
      </c>
      <c r="D43" s="10">
        <v>87.5</v>
      </c>
      <c r="E43" s="10">
        <v>160</v>
      </c>
      <c r="F43" s="9">
        <v>1057716</v>
      </c>
      <c r="G43" s="8" t="s">
        <v>50</v>
      </c>
      <c r="H43" s="12"/>
      <c r="I43" s="10">
        <v>47.115384615384613</v>
      </c>
      <c r="J43" s="8" t="s">
        <v>52</v>
      </c>
      <c r="K43" s="8" t="s">
        <v>53</v>
      </c>
      <c r="L43" s="8" t="s">
        <v>163</v>
      </c>
      <c r="M43" s="8" t="s">
        <v>164</v>
      </c>
      <c r="N43" s="13" t="str">
        <f>HYPERLINK("http://images.bloomingdales.com/is/image/BLM/11444513 ")</f>
        <v xml:space="preserve">http://images.bloomingdales.com/is/image/BLM/11444513 </v>
      </c>
    </row>
    <row r="44" spans="1:14" ht="48" x14ac:dyDescent="0.25">
      <c r="A44" s="12" t="s">
        <v>165</v>
      </c>
      <c r="B44" s="8" t="s">
        <v>166</v>
      </c>
      <c r="C44" s="9">
        <v>1</v>
      </c>
      <c r="D44" s="10">
        <v>87.5</v>
      </c>
      <c r="E44" s="10">
        <v>175</v>
      </c>
      <c r="F44" s="9" t="s">
        <v>167</v>
      </c>
      <c r="G44" s="8" t="s">
        <v>168</v>
      </c>
      <c r="H44" s="12"/>
      <c r="I44" s="10">
        <v>47.115384615384613</v>
      </c>
      <c r="J44" s="8" t="s">
        <v>122</v>
      </c>
      <c r="K44" s="8" t="s">
        <v>169</v>
      </c>
      <c r="L44" s="8" t="s">
        <v>31</v>
      </c>
      <c r="M44" s="8" t="s">
        <v>170</v>
      </c>
      <c r="N44" s="13" t="str">
        <f>HYPERLINK("http://slimages.macys.com/is/image/MCY/9485024 ")</f>
        <v xml:space="preserve">http://slimages.macys.com/is/image/MCY/9485024 </v>
      </c>
    </row>
    <row r="45" spans="1:14" ht="48" x14ac:dyDescent="0.25">
      <c r="A45" s="12" t="s">
        <v>171</v>
      </c>
      <c r="B45" s="8" t="s">
        <v>172</v>
      </c>
      <c r="C45" s="9">
        <v>1</v>
      </c>
      <c r="D45" s="10">
        <v>85</v>
      </c>
      <c r="E45" s="10">
        <v>139.99</v>
      </c>
      <c r="F45" s="9" t="s">
        <v>173</v>
      </c>
      <c r="G45" s="8" t="s">
        <v>50</v>
      </c>
      <c r="H45" s="12" t="s">
        <v>174</v>
      </c>
      <c r="I45" s="10">
        <v>45.769230769230766</v>
      </c>
      <c r="J45" s="8" t="s">
        <v>37</v>
      </c>
      <c r="K45" s="8" t="s">
        <v>68</v>
      </c>
      <c r="L45" s="8"/>
      <c r="M45" s="8" t="s">
        <v>175</v>
      </c>
      <c r="N45" s="13" t="str">
        <f>HYPERLINK("http://slimages.macys.com/is/image/MCY/287288 ")</f>
        <v xml:space="preserve">http://slimages.macys.com/is/image/MCY/287288 </v>
      </c>
    </row>
    <row r="46" spans="1:14" ht="48" x14ac:dyDescent="0.25">
      <c r="A46" s="12" t="s">
        <v>171</v>
      </c>
      <c r="B46" s="8" t="s">
        <v>172</v>
      </c>
      <c r="C46" s="9">
        <v>3</v>
      </c>
      <c r="D46" s="10">
        <v>85</v>
      </c>
      <c r="E46" s="10">
        <v>139.99</v>
      </c>
      <c r="F46" s="9" t="s">
        <v>173</v>
      </c>
      <c r="G46" s="8" t="s">
        <v>50</v>
      </c>
      <c r="H46" s="12" t="s">
        <v>174</v>
      </c>
      <c r="I46" s="10">
        <v>45.769230769230766</v>
      </c>
      <c r="J46" s="8" t="s">
        <v>37</v>
      </c>
      <c r="K46" s="8" t="s">
        <v>68</v>
      </c>
      <c r="L46" s="8"/>
      <c r="M46" s="8" t="s">
        <v>175</v>
      </c>
      <c r="N46" s="13" t="str">
        <f>HYPERLINK("http://slimages.macys.com/is/image/MCY/287288 ")</f>
        <v xml:space="preserve">http://slimages.macys.com/is/image/MCY/287288 </v>
      </c>
    </row>
    <row r="47" spans="1:14" ht="48" x14ac:dyDescent="0.25">
      <c r="A47" s="12" t="s">
        <v>176</v>
      </c>
      <c r="B47" s="8" t="s">
        <v>177</v>
      </c>
      <c r="C47" s="9">
        <v>1</v>
      </c>
      <c r="D47" s="10">
        <v>84.25</v>
      </c>
      <c r="E47" s="10">
        <v>185</v>
      </c>
      <c r="F47" s="9">
        <v>112414</v>
      </c>
      <c r="G47" s="8" t="s">
        <v>50</v>
      </c>
      <c r="H47" s="12" t="s">
        <v>46</v>
      </c>
      <c r="I47" s="10">
        <v>45.365384615384613</v>
      </c>
      <c r="J47" s="8" t="s">
        <v>73</v>
      </c>
      <c r="K47" s="8" t="s">
        <v>74</v>
      </c>
      <c r="L47" s="8"/>
      <c r="M47" s="8"/>
      <c r="N47" s="13" t="str">
        <f>HYPERLINK("http://slimages.macys.com/is/image/MCY/18027342 ")</f>
        <v xml:space="preserve">http://slimages.macys.com/is/image/MCY/18027342 </v>
      </c>
    </row>
    <row r="48" spans="1:14" ht="48" x14ac:dyDescent="0.25">
      <c r="A48" s="12" t="s">
        <v>178</v>
      </c>
      <c r="B48" s="8" t="s">
        <v>179</v>
      </c>
      <c r="C48" s="9">
        <v>7</v>
      </c>
      <c r="D48" s="10">
        <v>82.5</v>
      </c>
      <c r="E48" s="10">
        <v>165</v>
      </c>
      <c r="F48" s="9" t="s">
        <v>180</v>
      </c>
      <c r="G48" s="8" t="s">
        <v>35</v>
      </c>
      <c r="H48" s="12" t="s">
        <v>181</v>
      </c>
      <c r="I48" s="10">
        <v>44.42307692307692</v>
      </c>
      <c r="J48" s="8" t="s">
        <v>37</v>
      </c>
      <c r="K48" s="8" t="s">
        <v>116</v>
      </c>
      <c r="L48" s="8" t="s">
        <v>87</v>
      </c>
      <c r="M48" s="8" t="s">
        <v>182</v>
      </c>
      <c r="N48" s="13" t="str">
        <f>HYPERLINK("http://slimages.macys.com/is/image/MCY/219527 ")</f>
        <v xml:space="preserve">http://slimages.macys.com/is/image/MCY/219527 </v>
      </c>
    </row>
    <row r="49" spans="1:14" ht="48" x14ac:dyDescent="0.25">
      <c r="A49" s="12" t="s">
        <v>183</v>
      </c>
      <c r="B49" s="8" t="s">
        <v>184</v>
      </c>
      <c r="C49" s="9">
        <v>1</v>
      </c>
      <c r="D49" s="10">
        <v>77</v>
      </c>
      <c r="E49" s="10">
        <v>155.99</v>
      </c>
      <c r="F49" s="9">
        <v>2471</v>
      </c>
      <c r="G49" s="8" t="s">
        <v>35</v>
      </c>
      <c r="H49" s="12" t="s">
        <v>46</v>
      </c>
      <c r="I49" s="10">
        <v>41.46153846153846</v>
      </c>
      <c r="J49" s="8" t="s">
        <v>29</v>
      </c>
      <c r="K49" s="8" t="s">
        <v>185</v>
      </c>
      <c r="L49" s="8" t="s">
        <v>31</v>
      </c>
      <c r="M49" s="8" t="s">
        <v>186</v>
      </c>
      <c r="N49" s="13" t="str">
        <f>HYPERLINK("http://slimages.macys.com/is/image/MCY/14013836 ")</f>
        <v xml:space="preserve">http://slimages.macys.com/is/image/MCY/14013836 </v>
      </c>
    </row>
    <row r="50" spans="1:14" ht="48" x14ac:dyDescent="0.25">
      <c r="A50" s="12" t="s">
        <v>187</v>
      </c>
      <c r="B50" s="8" t="s">
        <v>188</v>
      </c>
      <c r="C50" s="9">
        <v>1</v>
      </c>
      <c r="D50" s="10">
        <v>75</v>
      </c>
      <c r="E50" s="10">
        <v>110</v>
      </c>
      <c r="F50" s="9">
        <v>15620296</v>
      </c>
      <c r="G50" s="8" t="s">
        <v>50</v>
      </c>
      <c r="H50" s="12" t="s">
        <v>174</v>
      </c>
      <c r="I50" s="10">
        <v>40.38461538461538</v>
      </c>
      <c r="J50" s="8" t="s">
        <v>37</v>
      </c>
      <c r="K50" s="8" t="s">
        <v>38</v>
      </c>
      <c r="L50" s="8"/>
      <c r="M50" s="8" t="s">
        <v>39</v>
      </c>
      <c r="N50" s="13" t="str">
        <f>HYPERLINK("http://slimages.macys.com/is/image/MCY/1204962 ")</f>
        <v xml:space="preserve">http://slimages.macys.com/is/image/MCY/1204962 </v>
      </c>
    </row>
    <row r="51" spans="1:14" ht="48" x14ac:dyDescent="0.25">
      <c r="A51" s="12" t="s">
        <v>189</v>
      </c>
      <c r="B51" s="8" t="s">
        <v>190</v>
      </c>
      <c r="C51" s="9">
        <v>1</v>
      </c>
      <c r="D51" s="10">
        <v>75</v>
      </c>
      <c r="E51" s="10">
        <v>149.99</v>
      </c>
      <c r="F51" s="9" t="s">
        <v>191</v>
      </c>
      <c r="G51" s="8" t="s">
        <v>50</v>
      </c>
      <c r="H51" s="12" t="s">
        <v>192</v>
      </c>
      <c r="I51" s="10">
        <v>40.38461538461538</v>
      </c>
      <c r="J51" s="8" t="s">
        <v>37</v>
      </c>
      <c r="K51" s="8" t="s">
        <v>86</v>
      </c>
      <c r="L51" s="8"/>
      <c r="M51" s="8" t="s">
        <v>39</v>
      </c>
      <c r="N51" s="13" t="str">
        <f>HYPERLINK("http://slimages.macys.com/is/image/MCY/78345 ")</f>
        <v xml:space="preserve">http://slimages.macys.com/is/image/MCY/78345 </v>
      </c>
    </row>
    <row r="52" spans="1:14" ht="48" x14ac:dyDescent="0.25">
      <c r="A52" s="12" t="s">
        <v>193</v>
      </c>
      <c r="B52" s="8" t="s">
        <v>194</v>
      </c>
      <c r="C52" s="9">
        <v>1</v>
      </c>
      <c r="D52" s="10">
        <v>75</v>
      </c>
      <c r="E52" s="10">
        <v>150</v>
      </c>
      <c r="F52" s="9" t="s">
        <v>195</v>
      </c>
      <c r="G52" s="8" t="s">
        <v>137</v>
      </c>
      <c r="H52" s="12"/>
      <c r="I52" s="10">
        <v>40.38461538461538</v>
      </c>
      <c r="J52" s="8" t="s">
        <v>73</v>
      </c>
      <c r="K52" s="8" t="s">
        <v>196</v>
      </c>
      <c r="L52" s="8" t="s">
        <v>31</v>
      </c>
      <c r="M52" s="8" t="s">
        <v>197</v>
      </c>
      <c r="N52" s="13" t="str">
        <f>HYPERLINK("http://slimages.macys.com/is/image/MCY/10015704 ")</f>
        <v xml:space="preserve">http://slimages.macys.com/is/image/MCY/10015704 </v>
      </c>
    </row>
    <row r="53" spans="1:14" ht="60" x14ac:dyDescent="0.25">
      <c r="A53" s="12" t="s">
        <v>198</v>
      </c>
      <c r="B53" s="8" t="s">
        <v>199</v>
      </c>
      <c r="C53" s="9">
        <v>1</v>
      </c>
      <c r="D53" s="10">
        <v>75</v>
      </c>
      <c r="E53" s="10">
        <v>150</v>
      </c>
      <c r="F53" s="9">
        <v>1699</v>
      </c>
      <c r="G53" s="8" t="s">
        <v>50</v>
      </c>
      <c r="H53" s="12" t="s">
        <v>46</v>
      </c>
      <c r="I53" s="10">
        <v>40.38461538461538</v>
      </c>
      <c r="J53" s="8" t="s">
        <v>73</v>
      </c>
      <c r="K53" s="8" t="s">
        <v>78</v>
      </c>
      <c r="L53" s="8" t="s">
        <v>79</v>
      </c>
      <c r="M53" s="8" t="s">
        <v>80</v>
      </c>
      <c r="N53" s="13" t="str">
        <f>HYPERLINK("http://images.bloomingdales.com/is/image/BLM/8387275 ")</f>
        <v xml:space="preserve">http://images.bloomingdales.com/is/image/BLM/8387275 </v>
      </c>
    </row>
    <row r="54" spans="1:14" ht="60" x14ac:dyDescent="0.25">
      <c r="A54" s="12" t="s">
        <v>200</v>
      </c>
      <c r="B54" s="8" t="s">
        <v>201</v>
      </c>
      <c r="C54" s="9">
        <v>1</v>
      </c>
      <c r="D54" s="10">
        <v>74.459999999999994</v>
      </c>
      <c r="E54" s="10">
        <v>179.99</v>
      </c>
      <c r="F54" s="9">
        <v>10007373800</v>
      </c>
      <c r="G54" s="8" t="s">
        <v>50</v>
      </c>
      <c r="H54" s="12" t="s">
        <v>46</v>
      </c>
      <c r="I54" s="10">
        <v>40.093846153846151</v>
      </c>
      <c r="J54" s="8" t="s">
        <v>202</v>
      </c>
      <c r="K54" s="8" t="s">
        <v>203</v>
      </c>
      <c r="L54" s="8" t="s">
        <v>31</v>
      </c>
      <c r="M54" s="8" t="s">
        <v>39</v>
      </c>
      <c r="N54" s="13" t="str">
        <f>HYPERLINK("http://slimages.macys.com/is/image/MCY/13839822 ")</f>
        <v xml:space="preserve">http://slimages.macys.com/is/image/MCY/13839822 </v>
      </c>
    </row>
    <row r="55" spans="1:14" ht="48" x14ac:dyDescent="0.25">
      <c r="A55" s="12" t="s">
        <v>204</v>
      </c>
      <c r="B55" s="8" t="s">
        <v>205</v>
      </c>
      <c r="C55" s="9">
        <v>1</v>
      </c>
      <c r="D55" s="10">
        <v>73.819999999999993</v>
      </c>
      <c r="E55" s="10">
        <v>184.99</v>
      </c>
      <c r="F55" s="9" t="s">
        <v>206</v>
      </c>
      <c r="G55" s="8" t="s">
        <v>207</v>
      </c>
      <c r="H55" s="12" t="s">
        <v>208</v>
      </c>
      <c r="I55" s="10">
        <v>39.74923076923077</v>
      </c>
      <c r="J55" s="8" t="s">
        <v>209</v>
      </c>
      <c r="K55" s="8" t="s">
        <v>210</v>
      </c>
      <c r="L55" s="8" t="s">
        <v>79</v>
      </c>
      <c r="M55" s="8"/>
      <c r="N55" s="13" t="str">
        <f>HYPERLINK("http://slimages.macys.com/is/image/MCY/12291237 ")</f>
        <v xml:space="preserve">http://slimages.macys.com/is/image/MCY/12291237 </v>
      </c>
    </row>
    <row r="56" spans="1:14" ht="48" x14ac:dyDescent="0.25">
      <c r="A56" s="12" t="s">
        <v>211</v>
      </c>
      <c r="B56" s="8" t="s">
        <v>212</v>
      </c>
      <c r="C56" s="9">
        <v>3</v>
      </c>
      <c r="D56" s="10">
        <v>70</v>
      </c>
      <c r="E56" s="10">
        <v>139.99</v>
      </c>
      <c r="F56" s="9" t="s">
        <v>213</v>
      </c>
      <c r="G56" s="8" t="s">
        <v>35</v>
      </c>
      <c r="H56" s="12" t="s">
        <v>181</v>
      </c>
      <c r="I56" s="10">
        <v>37.692307692307693</v>
      </c>
      <c r="J56" s="8" t="s">
        <v>37</v>
      </c>
      <c r="K56" s="8" t="s">
        <v>86</v>
      </c>
      <c r="L56" s="8" t="s">
        <v>87</v>
      </c>
      <c r="M56" s="8" t="s">
        <v>39</v>
      </c>
      <c r="N56" s="13" t="str">
        <f>HYPERLINK("http://slimages.macys.com/is/image/MCY/1251479 ")</f>
        <v xml:space="preserve">http://slimages.macys.com/is/image/MCY/1251479 </v>
      </c>
    </row>
    <row r="57" spans="1:14" ht="48" x14ac:dyDescent="0.25">
      <c r="A57" s="12" t="s">
        <v>211</v>
      </c>
      <c r="B57" s="8" t="s">
        <v>212</v>
      </c>
      <c r="C57" s="9">
        <v>1</v>
      </c>
      <c r="D57" s="10">
        <v>70</v>
      </c>
      <c r="E57" s="10">
        <v>139.99</v>
      </c>
      <c r="F57" s="9" t="s">
        <v>213</v>
      </c>
      <c r="G57" s="8" t="s">
        <v>35</v>
      </c>
      <c r="H57" s="12" t="s">
        <v>181</v>
      </c>
      <c r="I57" s="10">
        <v>37.692307692307693</v>
      </c>
      <c r="J57" s="8" t="s">
        <v>37</v>
      </c>
      <c r="K57" s="8" t="s">
        <v>86</v>
      </c>
      <c r="L57" s="8" t="s">
        <v>87</v>
      </c>
      <c r="M57" s="8" t="s">
        <v>39</v>
      </c>
      <c r="N57" s="13" t="str">
        <f>HYPERLINK("http://slimages.macys.com/is/image/MCY/1251479 ")</f>
        <v xml:space="preserve">http://slimages.macys.com/is/image/MCY/1251479 </v>
      </c>
    </row>
    <row r="58" spans="1:14" ht="48" x14ac:dyDescent="0.25">
      <c r="A58" s="12" t="s">
        <v>214</v>
      </c>
      <c r="B58" s="8" t="s">
        <v>215</v>
      </c>
      <c r="C58" s="9">
        <v>1</v>
      </c>
      <c r="D58" s="10">
        <v>69.87</v>
      </c>
      <c r="E58" s="10">
        <v>299.99</v>
      </c>
      <c r="F58" s="9" t="s">
        <v>216</v>
      </c>
      <c r="G58" s="8"/>
      <c r="H58" s="12" t="s">
        <v>217</v>
      </c>
      <c r="I58" s="10">
        <v>37.622307692307693</v>
      </c>
      <c r="J58" s="8" t="s">
        <v>29</v>
      </c>
      <c r="K58" s="8" t="s">
        <v>218</v>
      </c>
      <c r="L58" s="8" t="s">
        <v>79</v>
      </c>
      <c r="M58" s="8" t="s">
        <v>219</v>
      </c>
      <c r="N58" s="13" t="str">
        <f>HYPERLINK("http://slimages.macys.com/is/image/MCY/9293525 ")</f>
        <v xml:space="preserve">http://slimages.macys.com/is/image/MCY/9293525 </v>
      </c>
    </row>
    <row r="59" spans="1:14" ht="48" x14ac:dyDescent="0.25">
      <c r="A59" s="12" t="s">
        <v>220</v>
      </c>
      <c r="B59" s="8" t="s">
        <v>221</v>
      </c>
      <c r="C59" s="9">
        <v>1</v>
      </c>
      <c r="D59" s="10">
        <v>69.5</v>
      </c>
      <c r="E59" s="10">
        <v>114.99</v>
      </c>
      <c r="F59" s="9" t="s">
        <v>222</v>
      </c>
      <c r="G59" s="8" t="s">
        <v>137</v>
      </c>
      <c r="H59" s="12"/>
      <c r="I59" s="10">
        <v>37.42307692307692</v>
      </c>
      <c r="J59" s="8" t="s">
        <v>37</v>
      </c>
      <c r="K59" s="8" t="s">
        <v>68</v>
      </c>
      <c r="L59" s="8" t="s">
        <v>31</v>
      </c>
      <c r="M59" s="8" t="s">
        <v>39</v>
      </c>
      <c r="N59" s="13" t="str">
        <f>HYPERLINK("http://slimages.macys.com/is/image/MCY/9931005 ")</f>
        <v xml:space="preserve">http://slimages.macys.com/is/image/MCY/9931005 </v>
      </c>
    </row>
    <row r="60" spans="1:14" ht="48" x14ac:dyDescent="0.25">
      <c r="A60" s="12" t="s">
        <v>223</v>
      </c>
      <c r="B60" s="8" t="s">
        <v>224</v>
      </c>
      <c r="C60" s="9">
        <v>1</v>
      </c>
      <c r="D60" s="10">
        <v>68.75</v>
      </c>
      <c r="E60" s="10">
        <v>99.99</v>
      </c>
      <c r="F60" s="9" t="s">
        <v>225</v>
      </c>
      <c r="G60" s="8" t="s">
        <v>137</v>
      </c>
      <c r="H60" s="12" t="s">
        <v>46</v>
      </c>
      <c r="I60" s="10">
        <v>37.019230769230766</v>
      </c>
      <c r="J60" s="8" t="s">
        <v>29</v>
      </c>
      <c r="K60" s="8" t="s">
        <v>226</v>
      </c>
      <c r="L60" s="8" t="s">
        <v>31</v>
      </c>
      <c r="M60" s="8" t="s">
        <v>227</v>
      </c>
      <c r="N60" s="13" t="str">
        <f>HYPERLINK("http://slimages.macys.com/is/image/MCY/3611683 ")</f>
        <v xml:space="preserve">http://slimages.macys.com/is/image/MCY/3611683 </v>
      </c>
    </row>
    <row r="61" spans="1:14" ht="48" x14ac:dyDescent="0.25">
      <c r="A61" s="12" t="s">
        <v>228</v>
      </c>
      <c r="B61" s="8" t="s">
        <v>229</v>
      </c>
      <c r="C61" s="9">
        <v>1</v>
      </c>
      <c r="D61" s="10">
        <v>68.25</v>
      </c>
      <c r="E61" s="10">
        <v>150</v>
      </c>
      <c r="F61" s="9">
        <v>112417</v>
      </c>
      <c r="G61" s="8" t="s">
        <v>50</v>
      </c>
      <c r="H61" s="12" t="s">
        <v>46</v>
      </c>
      <c r="I61" s="10">
        <v>36.75</v>
      </c>
      <c r="J61" s="8" t="s">
        <v>73</v>
      </c>
      <c r="K61" s="8" t="s">
        <v>74</v>
      </c>
      <c r="L61" s="8"/>
      <c r="M61" s="8"/>
      <c r="N61" s="13" t="str">
        <f>HYPERLINK("http://slimages.macys.com/is/image/MCY/19041778 ")</f>
        <v xml:space="preserve">http://slimages.macys.com/is/image/MCY/19041778 </v>
      </c>
    </row>
    <row r="62" spans="1:14" ht="48" x14ac:dyDescent="0.25">
      <c r="A62" s="12" t="s">
        <v>230</v>
      </c>
      <c r="B62" s="8" t="s">
        <v>231</v>
      </c>
      <c r="C62" s="9">
        <v>1</v>
      </c>
      <c r="D62" s="10">
        <v>68.06</v>
      </c>
      <c r="E62" s="10">
        <v>136.99</v>
      </c>
      <c r="F62" s="9">
        <v>5190388</v>
      </c>
      <c r="G62" s="8" t="s">
        <v>45</v>
      </c>
      <c r="H62" s="12" t="s">
        <v>232</v>
      </c>
      <c r="I62" s="10">
        <v>36.64769230769231</v>
      </c>
      <c r="J62" s="8" t="s">
        <v>138</v>
      </c>
      <c r="K62" s="8" t="s">
        <v>139</v>
      </c>
      <c r="L62" s="8" t="s">
        <v>31</v>
      </c>
      <c r="M62" s="8" t="s">
        <v>233</v>
      </c>
      <c r="N62" s="13" t="str">
        <f>HYPERLINK("http://slimages.macys.com/is/image/MCY/8355956 ")</f>
        <v xml:space="preserve">http://slimages.macys.com/is/image/MCY/8355956 </v>
      </c>
    </row>
    <row r="63" spans="1:14" ht="60" x14ac:dyDescent="0.25">
      <c r="A63" s="12" t="s">
        <v>234</v>
      </c>
      <c r="B63" s="8" t="s">
        <v>235</v>
      </c>
      <c r="C63" s="9">
        <v>2</v>
      </c>
      <c r="D63" s="10">
        <v>66.7</v>
      </c>
      <c r="E63" s="10">
        <v>49.99</v>
      </c>
      <c r="F63" s="9" t="s">
        <v>236</v>
      </c>
      <c r="G63" s="8" t="s">
        <v>50</v>
      </c>
      <c r="H63" s="12"/>
      <c r="I63" s="10">
        <v>35.91538461538461</v>
      </c>
      <c r="J63" s="8" t="s">
        <v>95</v>
      </c>
      <c r="K63" s="8" t="s">
        <v>237</v>
      </c>
      <c r="L63" s="8" t="s">
        <v>31</v>
      </c>
      <c r="M63" s="8" t="s">
        <v>238</v>
      </c>
      <c r="N63" s="13" t="str">
        <f>HYPERLINK("http://slimages.macys.com/is/image/MCY/10816398 ")</f>
        <v xml:space="preserve">http://slimages.macys.com/is/image/MCY/10816398 </v>
      </c>
    </row>
    <row r="64" spans="1:14" ht="48" x14ac:dyDescent="0.25">
      <c r="A64" s="12" t="s">
        <v>239</v>
      </c>
      <c r="B64" s="8" t="s">
        <v>240</v>
      </c>
      <c r="C64" s="9">
        <v>1</v>
      </c>
      <c r="D64" s="10">
        <v>65.75</v>
      </c>
      <c r="E64" s="10">
        <v>239.99</v>
      </c>
      <c r="F64" s="9">
        <v>10005036500</v>
      </c>
      <c r="G64" s="8" t="s">
        <v>50</v>
      </c>
      <c r="H64" s="12" t="s">
        <v>46</v>
      </c>
      <c r="I64" s="10">
        <v>35.403846153846153</v>
      </c>
      <c r="J64" s="8" t="s">
        <v>241</v>
      </c>
      <c r="K64" s="8" t="s">
        <v>242</v>
      </c>
      <c r="L64" s="8" t="s">
        <v>31</v>
      </c>
      <c r="M64" s="8" t="s">
        <v>243</v>
      </c>
      <c r="N64" s="13" t="str">
        <f>HYPERLINK("http://slimages.macys.com/is/image/MCY/11745843 ")</f>
        <v xml:space="preserve">http://slimages.macys.com/is/image/MCY/11745843 </v>
      </c>
    </row>
    <row r="65" spans="1:14" ht="48" x14ac:dyDescent="0.25">
      <c r="A65" s="12" t="s">
        <v>244</v>
      </c>
      <c r="B65" s="8" t="s">
        <v>245</v>
      </c>
      <c r="C65" s="9">
        <v>1</v>
      </c>
      <c r="D65" s="10">
        <v>65</v>
      </c>
      <c r="E65" s="10">
        <v>125</v>
      </c>
      <c r="F65" s="9">
        <v>610</v>
      </c>
      <c r="G65" s="8" t="s">
        <v>137</v>
      </c>
      <c r="H65" s="12" t="s">
        <v>246</v>
      </c>
      <c r="I65" s="10">
        <v>35</v>
      </c>
      <c r="J65" s="8" t="s">
        <v>73</v>
      </c>
      <c r="K65" s="8" t="s">
        <v>196</v>
      </c>
      <c r="L65" s="8"/>
      <c r="M65" s="8" t="s">
        <v>247</v>
      </c>
      <c r="N65" s="13" t="str">
        <f>HYPERLINK("http://slimages.macys.com/is/image/MCY/1890607 ")</f>
        <v xml:space="preserve">http://slimages.macys.com/is/image/MCY/1890607 </v>
      </c>
    </row>
    <row r="66" spans="1:14" ht="48" x14ac:dyDescent="0.25">
      <c r="A66" s="12" t="s">
        <v>248</v>
      </c>
      <c r="B66" s="8" t="s">
        <v>249</v>
      </c>
      <c r="C66" s="9">
        <v>1</v>
      </c>
      <c r="D66" s="10">
        <v>65</v>
      </c>
      <c r="E66" s="10">
        <v>99.99</v>
      </c>
      <c r="F66" s="9" t="s">
        <v>250</v>
      </c>
      <c r="G66" s="8" t="s">
        <v>35</v>
      </c>
      <c r="H66" s="12" t="s">
        <v>181</v>
      </c>
      <c r="I66" s="10">
        <v>35</v>
      </c>
      <c r="J66" s="8" t="s">
        <v>37</v>
      </c>
      <c r="K66" s="8" t="s">
        <v>86</v>
      </c>
      <c r="L66" s="8" t="s">
        <v>87</v>
      </c>
      <c r="M66" s="8" t="s">
        <v>39</v>
      </c>
      <c r="N66" s="13" t="str">
        <f>HYPERLINK("http://slimages.macys.com/is/image/MCY/1383466 ")</f>
        <v xml:space="preserve">http://slimages.macys.com/is/image/MCY/1383466 </v>
      </c>
    </row>
    <row r="67" spans="1:14" ht="48" x14ac:dyDescent="0.25">
      <c r="A67" s="12" t="s">
        <v>251</v>
      </c>
      <c r="B67" s="8" t="s">
        <v>252</v>
      </c>
      <c r="C67" s="9">
        <v>2</v>
      </c>
      <c r="D67" s="10">
        <v>65</v>
      </c>
      <c r="E67" s="10">
        <v>60</v>
      </c>
      <c r="F67" s="9">
        <v>5108312</v>
      </c>
      <c r="G67" s="8" t="s">
        <v>35</v>
      </c>
      <c r="H67" s="12" t="s">
        <v>253</v>
      </c>
      <c r="I67" s="10">
        <v>35</v>
      </c>
      <c r="J67" s="8" t="s">
        <v>254</v>
      </c>
      <c r="K67" s="8" t="s">
        <v>139</v>
      </c>
      <c r="L67" s="8" t="s">
        <v>31</v>
      </c>
      <c r="M67" s="8" t="s">
        <v>255</v>
      </c>
      <c r="N67" s="13" t="str">
        <f>HYPERLINK("http://slimages.macys.com/is/image/MCY/1577384 ")</f>
        <v xml:space="preserve">http://slimages.macys.com/is/image/MCY/1577384 </v>
      </c>
    </row>
    <row r="68" spans="1:14" ht="60" x14ac:dyDescent="0.25">
      <c r="A68" s="12" t="s">
        <v>256</v>
      </c>
      <c r="B68" s="8" t="s">
        <v>257</v>
      </c>
      <c r="C68" s="9">
        <v>1</v>
      </c>
      <c r="D68" s="10">
        <v>63.75</v>
      </c>
      <c r="E68" s="10">
        <v>140</v>
      </c>
      <c r="F68" s="9">
        <v>144714</v>
      </c>
      <c r="G68" s="8" t="s">
        <v>50</v>
      </c>
      <c r="H68" s="12" t="s">
        <v>46</v>
      </c>
      <c r="I68" s="10">
        <v>34.326923076923073</v>
      </c>
      <c r="J68" s="8" t="s">
        <v>122</v>
      </c>
      <c r="K68" s="8" t="s">
        <v>74</v>
      </c>
      <c r="L68" s="8" t="s">
        <v>31</v>
      </c>
      <c r="M68" s="8" t="s">
        <v>258</v>
      </c>
      <c r="N68" s="13" t="str">
        <f>HYPERLINK("http://slimages.macys.com/is/image/MCY/12053944 ")</f>
        <v xml:space="preserve">http://slimages.macys.com/is/image/MCY/12053944 </v>
      </c>
    </row>
    <row r="69" spans="1:14" ht="48" x14ac:dyDescent="0.25">
      <c r="A69" s="12" t="s">
        <v>259</v>
      </c>
      <c r="B69" s="8" t="s">
        <v>260</v>
      </c>
      <c r="C69" s="9">
        <v>1</v>
      </c>
      <c r="D69" s="10">
        <v>63.72</v>
      </c>
      <c r="E69" s="10">
        <v>99.99</v>
      </c>
      <c r="F69" s="9" t="s">
        <v>261</v>
      </c>
      <c r="G69" s="8" t="s">
        <v>50</v>
      </c>
      <c r="H69" s="12" t="s">
        <v>46</v>
      </c>
      <c r="I69" s="10">
        <v>34.310769230769232</v>
      </c>
      <c r="J69" s="8" t="s">
        <v>262</v>
      </c>
      <c r="K69" s="8" t="s">
        <v>263</v>
      </c>
      <c r="L69" s="8"/>
      <c r="M69" s="8"/>
      <c r="N69" s="13" t="str">
        <f>HYPERLINK("http://slimages.macys.com/is/image/MCY/1674476 ")</f>
        <v xml:space="preserve">http://slimages.macys.com/is/image/MCY/1674476 </v>
      </c>
    </row>
    <row r="70" spans="1:14" ht="48" x14ac:dyDescent="0.25">
      <c r="A70" s="12" t="s">
        <v>264</v>
      </c>
      <c r="B70" s="8" t="s">
        <v>265</v>
      </c>
      <c r="C70" s="9">
        <v>1</v>
      </c>
      <c r="D70" s="10">
        <v>62.5</v>
      </c>
      <c r="E70" s="10">
        <v>125</v>
      </c>
      <c r="F70" s="9">
        <v>40001220</v>
      </c>
      <c r="G70" s="8" t="s">
        <v>50</v>
      </c>
      <c r="H70" s="12" t="s">
        <v>266</v>
      </c>
      <c r="I70" s="10">
        <v>33.653846153846153</v>
      </c>
      <c r="J70" s="8" t="s">
        <v>138</v>
      </c>
      <c r="K70" s="8" t="s">
        <v>267</v>
      </c>
      <c r="L70" s="8"/>
      <c r="M70" s="8"/>
      <c r="N70" s="13" t="str">
        <f>HYPERLINK("http://slimages.macys.com/is/image/MCY/1870839 ")</f>
        <v xml:space="preserve">http://slimages.macys.com/is/image/MCY/1870839 </v>
      </c>
    </row>
    <row r="71" spans="1:14" ht="48" x14ac:dyDescent="0.25">
      <c r="A71" s="12" t="s">
        <v>264</v>
      </c>
      <c r="B71" s="8" t="s">
        <v>265</v>
      </c>
      <c r="C71" s="9">
        <v>1</v>
      </c>
      <c r="D71" s="10">
        <v>62.5</v>
      </c>
      <c r="E71" s="10">
        <v>23.11</v>
      </c>
      <c r="F71" s="9">
        <v>40001220</v>
      </c>
      <c r="G71" s="8" t="s">
        <v>50</v>
      </c>
      <c r="H71" s="12" t="s">
        <v>266</v>
      </c>
      <c r="I71" s="10">
        <v>33.653846153846153</v>
      </c>
      <c r="J71" s="8" t="s">
        <v>138</v>
      </c>
      <c r="K71" s="8" t="s">
        <v>267</v>
      </c>
      <c r="L71" s="8"/>
      <c r="M71" s="8"/>
      <c r="N71" s="13" t="str">
        <f>HYPERLINK("http://slimages.macys.com/is/image/MCY/1870839 ")</f>
        <v xml:space="preserve">http://slimages.macys.com/is/image/MCY/1870839 </v>
      </c>
    </row>
    <row r="72" spans="1:14" ht="48" x14ac:dyDescent="0.25">
      <c r="A72" s="12" t="s">
        <v>264</v>
      </c>
      <c r="B72" s="8" t="s">
        <v>265</v>
      </c>
      <c r="C72" s="9">
        <v>1</v>
      </c>
      <c r="D72" s="10">
        <v>62.5</v>
      </c>
      <c r="E72" s="10">
        <v>125</v>
      </c>
      <c r="F72" s="9">
        <v>40001220</v>
      </c>
      <c r="G72" s="8" t="s">
        <v>50</v>
      </c>
      <c r="H72" s="12" t="s">
        <v>266</v>
      </c>
      <c r="I72" s="10">
        <v>33.653846153846153</v>
      </c>
      <c r="J72" s="8" t="s">
        <v>138</v>
      </c>
      <c r="K72" s="8" t="s">
        <v>267</v>
      </c>
      <c r="L72" s="8"/>
      <c r="M72" s="8"/>
      <c r="N72" s="13" t="str">
        <f>HYPERLINK("http://slimages.macys.com/is/image/MCY/1870839 ")</f>
        <v xml:space="preserve">http://slimages.macys.com/is/image/MCY/1870839 </v>
      </c>
    </row>
    <row r="73" spans="1:14" ht="60" x14ac:dyDescent="0.25">
      <c r="A73" s="12" t="s">
        <v>268</v>
      </c>
      <c r="B73" s="8" t="s">
        <v>269</v>
      </c>
      <c r="C73" s="9">
        <v>2</v>
      </c>
      <c r="D73" s="10">
        <v>60</v>
      </c>
      <c r="E73" s="10">
        <v>119.99</v>
      </c>
      <c r="F73" s="9" t="s">
        <v>270</v>
      </c>
      <c r="G73" s="8" t="s">
        <v>50</v>
      </c>
      <c r="H73" s="12" t="s">
        <v>46</v>
      </c>
      <c r="I73" s="10">
        <v>32.307692307692307</v>
      </c>
      <c r="J73" s="8" t="s">
        <v>37</v>
      </c>
      <c r="K73" s="8" t="s">
        <v>47</v>
      </c>
      <c r="L73" s="8" t="s">
        <v>31</v>
      </c>
      <c r="M73" s="8" t="s">
        <v>271</v>
      </c>
      <c r="N73" s="13" t="str">
        <f>HYPERLINK("http://slimages.macys.com/is/image/MCY/13061341 ")</f>
        <v xml:space="preserve">http://slimages.macys.com/is/image/MCY/13061341 </v>
      </c>
    </row>
    <row r="74" spans="1:14" ht="48" x14ac:dyDescent="0.25">
      <c r="A74" s="12" t="s">
        <v>272</v>
      </c>
      <c r="B74" s="8" t="s">
        <v>273</v>
      </c>
      <c r="C74" s="9">
        <v>1</v>
      </c>
      <c r="D74" s="10">
        <v>60</v>
      </c>
      <c r="E74" s="10">
        <v>99.99</v>
      </c>
      <c r="F74" s="9" t="s">
        <v>274</v>
      </c>
      <c r="G74" s="8" t="s">
        <v>275</v>
      </c>
      <c r="H74" s="12" t="s">
        <v>174</v>
      </c>
      <c r="I74" s="10">
        <v>32.307692307692307</v>
      </c>
      <c r="J74" s="8" t="s">
        <v>37</v>
      </c>
      <c r="K74" s="8" t="s">
        <v>68</v>
      </c>
      <c r="L74" s="8"/>
      <c r="M74" s="8" t="s">
        <v>39</v>
      </c>
      <c r="N74" s="13" t="str">
        <f>HYPERLINK("http://slimages.macys.com/is/image/MCY/1451137 ")</f>
        <v xml:space="preserve">http://slimages.macys.com/is/image/MCY/1451137 </v>
      </c>
    </row>
    <row r="75" spans="1:14" ht="48" x14ac:dyDescent="0.25">
      <c r="A75" s="12" t="s">
        <v>276</v>
      </c>
      <c r="B75" s="8" t="s">
        <v>277</v>
      </c>
      <c r="C75" s="9">
        <v>1</v>
      </c>
      <c r="D75" s="10">
        <v>60</v>
      </c>
      <c r="E75" s="10">
        <v>99.99</v>
      </c>
      <c r="F75" s="9" t="s">
        <v>278</v>
      </c>
      <c r="G75" s="8" t="s">
        <v>67</v>
      </c>
      <c r="H75" s="12" t="s">
        <v>46</v>
      </c>
      <c r="I75" s="10">
        <v>32.307692307692307</v>
      </c>
      <c r="J75" s="8" t="s">
        <v>95</v>
      </c>
      <c r="K75" s="8" t="s">
        <v>279</v>
      </c>
      <c r="L75" s="8"/>
      <c r="M75" s="8"/>
      <c r="N75" s="13" t="str">
        <f>HYPERLINK("http://slimages.macys.com/is/image/MCY/19034890 ")</f>
        <v xml:space="preserve">http://slimages.macys.com/is/image/MCY/19034890 </v>
      </c>
    </row>
    <row r="76" spans="1:14" ht="48" x14ac:dyDescent="0.25">
      <c r="A76" s="12" t="s">
        <v>280</v>
      </c>
      <c r="B76" s="8" t="s">
        <v>281</v>
      </c>
      <c r="C76" s="9">
        <v>2</v>
      </c>
      <c r="D76" s="10">
        <v>60</v>
      </c>
      <c r="E76" s="10">
        <v>150</v>
      </c>
      <c r="F76" s="9">
        <v>5464857</v>
      </c>
      <c r="G76" s="8" t="s">
        <v>50</v>
      </c>
      <c r="H76" s="12" t="s">
        <v>46</v>
      </c>
      <c r="I76" s="10">
        <v>32.307692307692307</v>
      </c>
      <c r="J76" s="8" t="s">
        <v>73</v>
      </c>
      <c r="K76" s="8" t="s">
        <v>282</v>
      </c>
      <c r="L76" s="8" t="s">
        <v>31</v>
      </c>
      <c r="M76" s="8" t="s">
        <v>283</v>
      </c>
      <c r="N76" s="13" t="str">
        <f>HYPERLINK("http://slimages.macys.com/is/image/MCY/15300630 ")</f>
        <v xml:space="preserve">http://slimages.macys.com/is/image/MCY/15300630 </v>
      </c>
    </row>
    <row r="77" spans="1:14" ht="60" x14ac:dyDescent="0.25">
      <c r="A77" s="12" t="s">
        <v>284</v>
      </c>
      <c r="B77" s="8" t="s">
        <v>285</v>
      </c>
      <c r="C77" s="9">
        <v>1</v>
      </c>
      <c r="D77" s="10">
        <v>59.25</v>
      </c>
      <c r="E77" s="10">
        <v>130</v>
      </c>
      <c r="F77" s="9">
        <v>112411</v>
      </c>
      <c r="G77" s="8" t="s">
        <v>50</v>
      </c>
      <c r="H77" s="12" t="s">
        <v>46</v>
      </c>
      <c r="I77" s="10">
        <v>31.903846153846153</v>
      </c>
      <c r="J77" s="8" t="s">
        <v>73</v>
      </c>
      <c r="K77" s="8" t="s">
        <v>74</v>
      </c>
      <c r="L77" s="8" t="s">
        <v>286</v>
      </c>
      <c r="M77" s="8" t="s">
        <v>287</v>
      </c>
      <c r="N77" s="13" t="str">
        <f>HYPERLINK("http://images.bloomingdales.com/is/image/BLM/11044633 ")</f>
        <v xml:space="preserve">http://images.bloomingdales.com/is/image/BLM/11044633 </v>
      </c>
    </row>
    <row r="78" spans="1:14" ht="48" x14ac:dyDescent="0.25">
      <c r="A78" s="12" t="s">
        <v>288</v>
      </c>
      <c r="B78" s="8" t="s">
        <v>289</v>
      </c>
      <c r="C78" s="9">
        <v>1</v>
      </c>
      <c r="D78" s="10">
        <v>58</v>
      </c>
      <c r="E78" s="10">
        <v>23.11</v>
      </c>
      <c r="F78" s="9" t="s">
        <v>290</v>
      </c>
      <c r="G78" s="8" t="s">
        <v>35</v>
      </c>
      <c r="H78" s="12" t="s">
        <v>291</v>
      </c>
      <c r="I78" s="10">
        <v>31.23076923076923</v>
      </c>
      <c r="J78" s="8" t="s">
        <v>37</v>
      </c>
      <c r="K78" s="8" t="s">
        <v>86</v>
      </c>
      <c r="L78" s="8" t="s">
        <v>79</v>
      </c>
      <c r="M78" s="8" t="s">
        <v>39</v>
      </c>
      <c r="N78" s="13" t="str">
        <f>HYPERLINK("http://slimages.macys.com/is/image/MCY/3502256 ")</f>
        <v xml:space="preserve">http://slimages.macys.com/is/image/MCY/3502256 </v>
      </c>
    </row>
    <row r="79" spans="1:14" ht="48" x14ac:dyDescent="0.25">
      <c r="A79" s="12" t="s">
        <v>292</v>
      </c>
      <c r="B79" s="8" t="s">
        <v>293</v>
      </c>
      <c r="C79" s="9">
        <v>1</v>
      </c>
      <c r="D79" s="10">
        <v>57.5</v>
      </c>
      <c r="E79" s="10">
        <v>115</v>
      </c>
      <c r="F79" s="9" t="s">
        <v>294</v>
      </c>
      <c r="G79" s="8" t="s">
        <v>168</v>
      </c>
      <c r="H79" s="12" t="s">
        <v>295</v>
      </c>
      <c r="I79" s="10">
        <v>30.96153846153846</v>
      </c>
      <c r="J79" s="8" t="s">
        <v>73</v>
      </c>
      <c r="K79" s="8" t="s">
        <v>296</v>
      </c>
      <c r="L79" s="8"/>
      <c r="M79" s="8" t="s">
        <v>297</v>
      </c>
      <c r="N79" s="13" t="str">
        <f>HYPERLINK("http://slimages.macys.com/is/image/MCY/880169 ")</f>
        <v xml:space="preserve">http://slimages.macys.com/is/image/MCY/880169 </v>
      </c>
    </row>
    <row r="80" spans="1:14" ht="48" x14ac:dyDescent="0.25">
      <c r="A80" s="12" t="s">
        <v>298</v>
      </c>
      <c r="B80" s="8" t="s">
        <v>299</v>
      </c>
      <c r="C80" s="9">
        <v>2</v>
      </c>
      <c r="D80" s="10">
        <v>55</v>
      </c>
      <c r="E80" s="10">
        <v>69.989999999999995</v>
      </c>
      <c r="F80" s="9">
        <v>5137735</v>
      </c>
      <c r="G80" s="8" t="s">
        <v>133</v>
      </c>
      <c r="H80" s="12" t="s">
        <v>36</v>
      </c>
      <c r="I80" s="10">
        <v>29.615384615384613</v>
      </c>
      <c r="J80" s="8" t="s">
        <v>254</v>
      </c>
      <c r="K80" s="8" t="s">
        <v>139</v>
      </c>
      <c r="L80" s="8" t="s">
        <v>31</v>
      </c>
      <c r="M80" s="8" t="s">
        <v>271</v>
      </c>
      <c r="N80" s="13" t="str">
        <f>HYPERLINK("http://slimages.macys.com/is/image/MCY/2238515 ")</f>
        <v xml:space="preserve">http://slimages.macys.com/is/image/MCY/2238515 </v>
      </c>
    </row>
    <row r="81" spans="1:14" ht="48" x14ac:dyDescent="0.25">
      <c r="A81" s="12" t="s">
        <v>300</v>
      </c>
      <c r="B81" s="8" t="s">
        <v>301</v>
      </c>
      <c r="C81" s="9">
        <v>9</v>
      </c>
      <c r="D81" s="10">
        <v>55</v>
      </c>
      <c r="E81" s="10">
        <v>110</v>
      </c>
      <c r="F81" s="9">
        <v>118259</v>
      </c>
      <c r="G81" s="8" t="s">
        <v>50</v>
      </c>
      <c r="H81" s="12" t="s">
        <v>174</v>
      </c>
      <c r="I81" s="10">
        <v>29.615384615384613</v>
      </c>
      <c r="J81" s="8" t="s">
        <v>37</v>
      </c>
      <c r="K81" s="8" t="s">
        <v>53</v>
      </c>
      <c r="L81" s="8"/>
      <c r="M81" s="8" t="s">
        <v>302</v>
      </c>
      <c r="N81" s="13" t="str">
        <f>HYPERLINK("http://slimages.macys.com/is/image/MCY/1129326 ")</f>
        <v xml:space="preserve">http://slimages.macys.com/is/image/MCY/1129326 </v>
      </c>
    </row>
    <row r="82" spans="1:14" ht="48" x14ac:dyDescent="0.25">
      <c r="A82" s="12" t="s">
        <v>303</v>
      </c>
      <c r="B82" s="8" t="s">
        <v>304</v>
      </c>
      <c r="C82" s="9">
        <v>1</v>
      </c>
      <c r="D82" s="10">
        <v>55</v>
      </c>
      <c r="E82" s="10">
        <v>99.99</v>
      </c>
      <c r="F82" s="9" t="s">
        <v>305</v>
      </c>
      <c r="G82" s="8" t="s">
        <v>137</v>
      </c>
      <c r="H82" s="12"/>
      <c r="I82" s="10">
        <v>29.615384615384613</v>
      </c>
      <c r="J82" s="8" t="s">
        <v>95</v>
      </c>
      <c r="K82" s="8" t="s">
        <v>306</v>
      </c>
      <c r="L82" s="8" t="s">
        <v>31</v>
      </c>
      <c r="M82" s="8"/>
      <c r="N82" s="13" t="str">
        <f>HYPERLINK("http://slimages.macys.com/is/image/MCY/2107355 ")</f>
        <v xml:space="preserve">http://slimages.macys.com/is/image/MCY/2107355 </v>
      </c>
    </row>
    <row r="83" spans="1:14" ht="48" x14ac:dyDescent="0.25">
      <c r="A83" s="12" t="s">
        <v>307</v>
      </c>
      <c r="B83" s="8" t="s">
        <v>308</v>
      </c>
      <c r="C83" s="9">
        <v>1</v>
      </c>
      <c r="D83" s="10">
        <v>55</v>
      </c>
      <c r="E83" s="10">
        <v>79.989999999999995</v>
      </c>
      <c r="F83" s="9">
        <v>5246633</v>
      </c>
      <c r="G83" s="8" t="s">
        <v>84</v>
      </c>
      <c r="H83" s="12" t="s">
        <v>36</v>
      </c>
      <c r="I83" s="10">
        <v>29.615384615384613</v>
      </c>
      <c r="J83" s="8" t="s">
        <v>254</v>
      </c>
      <c r="K83" s="8" t="s">
        <v>309</v>
      </c>
      <c r="L83" s="8" t="s">
        <v>31</v>
      </c>
      <c r="M83" s="8" t="s">
        <v>271</v>
      </c>
      <c r="N83" s="13" t="str">
        <f>HYPERLINK("http://slimages.macys.com/is/image/MCY/11947993 ")</f>
        <v xml:space="preserve">http://slimages.macys.com/is/image/MCY/11947993 </v>
      </c>
    </row>
    <row r="84" spans="1:14" ht="48" x14ac:dyDescent="0.25">
      <c r="A84" s="12" t="s">
        <v>303</v>
      </c>
      <c r="B84" s="8" t="s">
        <v>304</v>
      </c>
      <c r="C84" s="9">
        <v>1</v>
      </c>
      <c r="D84" s="10">
        <v>55</v>
      </c>
      <c r="E84" s="10">
        <v>23.11</v>
      </c>
      <c r="F84" s="9" t="s">
        <v>305</v>
      </c>
      <c r="G84" s="8" t="s">
        <v>137</v>
      </c>
      <c r="H84" s="12"/>
      <c r="I84" s="10">
        <v>29.615384615384613</v>
      </c>
      <c r="J84" s="8" t="s">
        <v>95</v>
      </c>
      <c r="K84" s="8" t="s">
        <v>306</v>
      </c>
      <c r="L84" s="8" t="s">
        <v>31</v>
      </c>
      <c r="M84" s="8"/>
      <c r="N84" s="13" t="str">
        <f>HYPERLINK("http://slimages.macys.com/is/image/MCY/2107355 ")</f>
        <v xml:space="preserve">http://slimages.macys.com/is/image/MCY/2107355 </v>
      </c>
    </row>
    <row r="85" spans="1:14" ht="48" x14ac:dyDescent="0.25">
      <c r="A85" s="12" t="s">
        <v>310</v>
      </c>
      <c r="B85" s="8" t="s">
        <v>311</v>
      </c>
      <c r="C85" s="9">
        <v>1</v>
      </c>
      <c r="D85" s="10">
        <v>54.63</v>
      </c>
      <c r="E85" s="10">
        <v>135.99</v>
      </c>
      <c r="F85" s="9" t="s">
        <v>312</v>
      </c>
      <c r="G85" s="8" t="s">
        <v>137</v>
      </c>
      <c r="H85" s="12" t="s">
        <v>46</v>
      </c>
      <c r="I85" s="10">
        <v>29.416153846153843</v>
      </c>
      <c r="J85" s="8" t="s">
        <v>313</v>
      </c>
      <c r="K85" s="8" t="s">
        <v>314</v>
      </c>
      <c r="L85" s="8" t="s">
        <v>31</v>
      </c>
      <c r="M85" s="8" t="s">
        <v>315</v>
      </c>
      <c r="N85" s="13" t="str">
        <f>HYPERLINK("http://slimages.macys.com/is/image/MCY/16713955 ")</f>
        <v xml:space="preserve">http://slimages.macys.com/is/image/MCY/16713955 </v>
      </c>
    </row>
    <row r="86" spans="1:14" ht="48" x14ac:dyDescent="0.25">
      <c r="A86" s="12" t="s">
        <v>316</v>
      </c>
      <c r="B86" s="8" t="s">
        <v>317</v>
      </c>
      <c r="C86" s="9">
        <v>1</v>
      </c>
      <c r="D86" s="10">
        <v>51</v>
      </c>
      <c r="E86" s="10">
        <v>112.5</v>
      </c>
      <c r="F86" s="9" t="s">
        <v>318</v>
      </c>
      <c r="G86" s="8" t="s">
        <v>50</v>
      </c>
      <c r="H86" s="12" t="s">
        <v>46</v>
      </c>
      <c r="I86" s="10">
        <v>27.461538461538463</v>
      </c>
      <c r="J86" s="8" t="s">
        <v>29</v>
      </c>
      <c r="K86" s="8" t="s">
        <v>319</v>
      </c>
      <c r="L86" s="8" t="s">
        <v>31</v>
      </c>
      <c r="M86" s="8" t="s">
        <v>320</v>
      </c>
      <c r="N86" s="13" t="str">
        <f>HYPERLINK("http://slimages.macys.com/is/image/MCY/12795813 ")</f>
        <v xml:space="preserve">http://slimages.macys.com/is/image/MCY/12795813 </v>
      </c>
    </row>
    <row r="87" spans="1:14" ht="48" x14ac:dyDescent="0.25">
      <c r="A87" s="12" t="s">
        <v>321</v>
      </c>
      <c r="B87" s="8" t="s">
        <v>322</v>
      </c>
      <c r="C87" s="9">
        <v>1</v>
      </c>
      <c r="D87" s="10">
        <v>50.93</v>
      </c>
      <c r="E87" s="10">
        <v>113.17</v>
      </c>
      <c r="F87" s="9">
        <v>144614</v>
      </c>
      <c r="G87" s="8" t="s">
        <v>50</v>
      </c>
      <c r="H87" s="12"/>
      <c r="I87" s="10">
        <v>27.423846153846156</v>
      </c>
      <c r="J87" s="8" t="s">
        <v>73</v>
      </c>
      <c r="K87" s="8" t="s">
        <v>74</v>
      </c>
      <c r="L87" s="8"/>
      <c r="M87" s="8"/>
      <c r="N87" s="13" t="str">
        <f>HYPERLINK("http://slimages.macys.com/is/image/MCY/1891821 ")</f>
        <v xml:space="preserve">http://slimages.macys.com/is/image/MCY/1891821 </v>
      </c>
    </row>
    <row r="88" spans="1:14" ht="48" x14ac:dyDescent="0.25">
      <c r="A88" s="12" t="s">
        <v>323</v>
      </c>
      <c r="B88" s="8" t="s">
        <v>324</v>
      </c>
      <c r="C88" s="9">
        <v>1</v>
      </c>
      <c r="D88" s="10">
        <v>50</v>
      </c>
      <c r="E88" s="10">
        <v>90</v>
      </c>
      <c r="F88" s="9">
        <v>40031990</v>
      </c>
      <c r="G88" s="8" t="s">
        <v>50</v>
      </c>
      <c r="H88" s="12"/>
      <c r="I88" s="10">
        <v>26.923076923076923</v>
      </c>
      <c r="J88" s="8" t="s">
        <v>52</v>
      </c>
      <c r="K88" s="8" t="s">
        <v>53</v>
      </c>
      <c r="L88" s="8" t="s">
        <v>31</v>
      </c>
      <c r="M88" s="8" t="s">
        <v>54</v>
      </c>
      <c r="N88" s="13" t="str">
        <f>HYPERLINK("http://slimages.macys.com/is/image/MCY/9081908 ")</f>
        <v xml:space="preserve">http://slimages.macys.com/is/image/MCY/9081908 </v>
      </c>
    </row>
    <row r="89" spans="1:14" ht="48" x14ac:dyDescent="0.25">
      <c r="A89" s="12" t="s">
        <v>325</v>
      </c>
      <c r="B89" s="8" t="s">
        <v>326</v>
      </c>
      <c r="C89" s="9">
        <v>1</v>
      </c>
      <c r="D89" s="10">
        <v>50</v>
      </c>
      <c r="E89" s="10">
        <v>80</v>
      </c>
      <c r="F89" s="9">
        <v>40002106</v>
      </c>
      <c r="G89" s="8" t="s">
        <v>50</v>
      </c>
      <c r="H89" s="12" t="s">
        <v>327</v>
      </c>
      <c r="I89" s="10">
        <v>26.923076923076923</v>
      </c>
      <c r="J89" s="8" t="s">
        <v>52</v>
      </c>
      <c r="K89" s="8" t="s">
        <v>53</v>
      </c>
      <c r="L89" s="8" t="s">
        <v>31</v>
      </c>
      <c r="M89" s="8" t="s">
        <v>54</v>
      </c>
      <c r="N89" s="13" t="str">
        <f>HYPERLINK("http://slimages.macys.com/is/image/MCY/2446483 ")</f>
        <v xml:space="preserve">http://slimages.macys.com/is/image/MCY/2446483 </v>
      </c>
    </row>
    <row r="90" spans="1:14" ht="48" x14ac:dyDescent="0.25">
      <c r="A90" s="12" t="s">
        <v>328</v>
      </c>
      <c r="B90" s="8" t="s">
        <v>329</v>
      </c>
      <c r="C90" s="9">
        <v>1</v>
      </c>
      <c r="D90" s="10">
        <v>50</v>
      </c>
      <c r="E90" s="10">
        <v>23.11</v>
      </c>
      <c r="F90" s="9">
        <v>6133180600</v>
      </c>
      <c r="G90" s="8" t="s">
        <v>50</v>
      </c>
      <c r="H90" s="12" t="s">
        <v>327</v>
      </c>
      <c r="I90" s="10">
        <v>26.923076923076923</v>
      </c>
      <c r="J90" s="8" t="s">
        <v>52</v>
      </c>
      <c r="K90" s="8" t="s">
        <v>53</v>
      </c>
      <c r="L90" s="8"/>
      <c r="M90" s="8" t="s">
        <v>54</v>
      </c>
      <c r="N90" s="13" t="str">
        <f>HYPERLINK("http://slimages.macys.com/is/image/MCY/1136695 ")</f>
        <v xml:space="preserve">http://slimages.macys.com/is/image/MCY/1136695 </v>
      </c>
    </row>
    <row r="91" spans="1:14" ht="48" x14ac:dyDescent="0.25">
      <c r="A91" s="12" t="s">
        <v>330</v>
      </c>
      <c r="B91" s="8" t="s">
        <v>331</v>
      </c>
      <c r="C91" s="9">
        <v>1</v>
      </c>
      <c r="D91" s="10">
        <v>50</v>
      </c>
      <c r="E91" s="10">
        <v>99.99</v>
      </c>
      <c r="F91" s="9" t="s">
        <v>332</v>
      </c>
      <c r="G91" s="8" t="s">
        <v>45</v>
      </c>
      <c r="H91" s="12" t="s">
        <v>181</v>
      </c>
      <c r="I91" s="10">
        <v>26.923076923076923</v>
      </c>
      <c r="J91" s="8" t="s">
        <v>37</v>
      </c>
      <c r="K91" s="8" t="s">
        <v>68</v>
      </c>
      <c r="L91" s="8" t="s">
        <v>31</v>
      </c>
      <c r="M91" s="8" t="s">
        <v>39</v>
      </c>
      <c r="N91" s="13" t="str">
        <f>HYPERLINK("http://slimages.macys.com/is/image/MCY/11550987 ")</f>
        <v xml:space="preserve">http://slimages.macys.com/is/image/MCY/11550987 </v>
      </c>
    </row>
    <row r="92" spans="1:14" ht="48" x14ac:dyDescent="0.25">
      <c r="A92" s="12" t="s">
        <v>333</v>
      </c>
      <c r="B92" s="8" t="s">
        <v>326</v>
      </c>
      <c r="C92" s="9">
        <v>1</v>
      </c>
      <c r="D92" s="10">
        <v>50</v>
      </c>
      <c r="E92" s="10">
        <v>80</v>
      </c>
      <c r="F92" s="9">
        <v>40002105</v>
      </c>
      <c r="G92" s="8" t="s">
        <v>50</v>
      </c>
      <c r="H92" s="12" t="s">
        <v>334</v>
      </c>
      <c r="I92" s="10">
        <v>26.923076923076923</v>
      </c>
      <c r="J92" s="8" t="s">
        <v>52</v>
      </c>
      <c r="K92" s="8" t="s">
        <v>53</v>
      </c>
      <c r="L92" s="8" t="s">
        <v>31</v>
      </c>
      <c r="M92" s="8" t="s">
        <v>54</v>
      </c>
      <c r="N92" s="13" t="str">
        <f>HYPERLINK("http://slimages.macys.com/is/image/MCY/2446482 ")</f>
        <v xml:space="preserve">http://slimages.macys.com/is/image/MCY/2446482 </v>
      </c>
    </row>
    <row r="93" spans="1:14" ht="48" x14ac:dyDescent="0.25">
      <c r="A93" s="12" t="s">
        <v>335</v>
      </c>
      <c r="B93" s="8" t="s">
        <v>336</v>
      </c>
      <c r="C93" s="9">
        <v>1</v>
      </c>
      <c r="D93" s="10">
        <v>50</v>
      </c>
      <c r="E93" s="10">
        <v>99.99</v>
      </c>
      <c r="F93" s="9" t="s">
        <v>337</v>
      </c>
      <c r="G93" s="8" t="s">
        <v>50</v>
      </c>
      <c r="H93" s="12"/>
      <c r="I93" s="10">
        <v>26.923076923076923</v>
      </c>
      <c r="J93" s="8" t="s">
        <v>95</v>
      </c>
      <c r="K93" s="8" t="s">
        <v>96</v>
      </c>
      <c r="L93" s="8"/>
      <c r="M93" s="8"/>
      <c r="N93" s="13" t="str">
        <f>HYPERLINK("http://slimages.macys.com/is/image/MCY/3040505 ")</f>
        <v xml:space="preserve">http://slimages.macys.com/is/image/MCY/3040505 </v>
      </c>
    </row>
    <row r="94" spans="1:14" ht="48" x14ac:dyDescent="0.25">
      <c r="A94" s="12" t="s">
        <v>338</v>
      </c>
      <c r="B94" s="8" t="s">
        <v>339</v>
      </c>
      <c r="C94" s="9">
        <v>1</v>
      </c>
      <c r="D94" s="10">
        <v>50</v>
      </c>
      <c r="E94" s="10">
        <v>80</v>
      </c>
      <c r="F94" s="9">
        <v>6133180400</v>
      </c>
      <c r="G94" s="8" t="s">
        <v>50</v>
      </c>
      <c r="H94" s="12" t="s">
        <v>334</v>
      </c>
      <c r="I94" s="10">
        <v>26.923076923076923</v>
      </c>
      <c r="J94" s="8" t="s">
        <v>52</v>
      </c>
      <c r="K94" s="8" t="s">
        <v>53</v>
      </c>
      <c r="L94" s="8"/>
      <c r="M94" s="8" t="s">
        <v>54</v>
      </c>
      <c r="N94" s="13" t="str">
        <f>HYPERLINK("http://slimages.macys.com/is/image/MCY/1136696 ")</f>
        <v xml:space="preserve">http://slimages.macys.com/is/image/MCY/1136696 </v>
      </c>
    </row>
    <row r="95" spans="1:14" ht="48" x14ac:dyDescent="0.25">
      <c r="A95" s="12" t="s">
        <v>340</v>
      </c>
      <c r="B95" s="8" t="s">
        <v>341</v>
      </c>
      <c r="C95" s="9">
        <v>1</v>
      </c>
      <c r="D95" s="10">
        <v>50</v>
      </c>
      <c r="E95" s="10">
        <v>85</v>
      </c>
      <c r="F95" s="9">
        <v>40029525</v>
      </c>
      <c r="G95" s="8" t="s">
        <v>50</v>
      </c>
      <c r="H95" s="12"/>
      <c r="I95" s="10">
        <v>26.923076923076923</v>
      </c>
      <c r="J95" s="8" t="s">
        <v>52</v>
      </c>
      <c r="K95" s="8" t="s">
        <v>53</v>
      </c>
      <c r="L95" s="8" t="s">
        <v>31</v>
      </c>
      <c r="M95" s="8" t="s">
        <v>54</v>
      </c>
      <c r="N95" s="13" t="str">
        <f>HYPERLINK("http://slimages.macys.com/is/image/MCY/9337104 ")</f>
        <v xml:space="preserve">http://slimages.macys.com/is/image/MCY/9337104 </v>
      </c>
    </row>
    <row r="96" spans="1:14" ht="60" x14ac:dyDescent="0.25">
      <c r="A96" s="12" t="s">
        <v>342</v>
      </c>
      <c r="B96" s="8" t="s">
        <v>343</v>
      </c>
      <c r="C96" s="9">
        <v>1</v>
      </c>
      <c r="D96" s="10">
        <v>50</v>
      </c>
      <c r="E96" s="10">
        <v>100</v>
      </c>
      <c r="F96" s="9" t="s">
        <v>344</v>
      </c>
      <c r="G96" s="8" t="s">
        <v>137</v>
      </c>
      <c r="H96" s="12" t="s">
        <v>266</v>
      </c>
      <c r="I96" s="10">
        <v>26.923076923076923</v>
      </c>
      <c r="J96" s="8" t="s">
        <v>138</v>
      </c>
      <c r="K96" s="8" t="s">
        <v>345</v>
      </c>
      <c r="L96" s="8" t="s">
        <v>31</v>
      </c>
      <c r="M96" s="8" t="s">
        <v>346</v>
      </c>
      <c r="N96" s="13" t="str">
        <f>HYPERLINK("http://slimages.macys.com/is/image/MCY/1324414 ")</f>
        <v xml:space="preserve">http://slimages.macys.com/is/image/MCY/1324414 </v>
      </c>
    </row>
    <row r="97" spans="1:14" ht="48" x14ac:dyDescent="0.25">
      <c r="A97" s="12" t="s">
        <v>347</v>
      </c>
      <c r="B97" s="8" t="s">
        <v>348</v>
      </c>
      <c r="C97" s="9">
        <v>1</v>
      </c>
      <c r="D97" s="10">
        <v>50</v>
      </c>
      <c r="E97" s="10">
        <v>100</v>
      </c>
      <c r="F97" s="9" t="s">
        <v>349</v>
      </c>
      <c r="G97" s="8" t="s">
        <v>137</v>
      </c>
      <c r="H97" s="12" t="s">
        <v>266</v>
      </c>
      <c r="I97" s="10">
        <v>26.923076923076923</v>
      </c>
      <c r="J97" s="8" t="s">
        <v>138</v>
      </c>
      <c r="K97" s="8" t="s">
        <v>350</v>
      </c>
      <c r="L97" s="8"/>
      <c r="M97" s="8"/>
      <c r="N97" s="13" t="str">
        <f>HYPERLINK("http://slimages.macys.com/is/image/MCY/1870841 ")</f>
        <v xml:space="preserve">http://slimages.macys.com/is/image/MCY/1870841 </v>
      </c>
    </row>
    <row r="98" spans="1:14" ht="48" x14ac:dyDescent="0.25">
      <c r="A98" s="12" t="s">
        <v>351</v>
      </c>
      <c r="B98" s="8" t="s">
        <v>352</v>
      </c>
      <c r="C98" s="9">
        <v>1</v>
      </c>
      <c r="D98" s="10">
        <v>50</v>
      </c>
      <c r="E98" s="10">
        <v>75</v>
      </c>
      <c r="F98" s="9">
        <v>6003180600</v>
      </c>
      <c r="G98" s="8" t="s">
        <v>50</v>
      </c>
      <c r="H98" s="12" t="s">
        <v>327</v>
      </c>
      <c r="I98" s="10">
        <v>26.923076923076923</v>
      </c>
      <c r="J98" s="8" t="s">
        <v>52</v>
      </c>
      <c r="K98" s="8" t="s">
        <v>53</v>
      </c>
      <c r="L98" s="8"/>
      <c r="M98" s="8" t="s">
        <v>54</v>
      </c>
      <c r="N98" s="13" t="str">
        <f>HYPERLINK("http://slimages.macys.com/is/image/MCY/1136724 ")</f>
        <v xml:space="preserve">http://slimages.macys.com/is/image/MCY/1136724 </v>
      </c>
    </row>
    <row r="99" spans="1:14" ht="60" x14ac:dyDescent="0.25">
      <c r="A99" s="12" t="s">
        <v>353</v>
      </c>
      <c r="B99" s="8" t="s">
        <v>354</v>
      </c>
      <c r="C99" s="9">
        <v>1</v>
      </c>
      <c r="D99" s="10">
        <v>50</v>
      </c>
      <c r="E99" s="10">
        <v>100</v>
      </c>
      <c r="F99" s="9">
        <v>7091151</v>
      </c>
      <c r="G99" s="8" t="s">
        <v>355</v>
      </c>
      <c r="H99" s="12" t="s">
        <v>46</v>
      </c>
      <c r="I99" s="10">
        <v>26.923076923076923</v>
      </c>
      <c r="J99" s="8" t="s">
        <v>73</v>
      </c>
      <c r="K99" s="8" t="s">
        <v>356</v>
      </c>
      <c r="L99" s="8" t="s">
        <v>31</v>
      </c>
      <c r="M99" s="8" t="s">
        <v>80</v>
      </c>
      <c r="N99" s="13" t="str">
        <f>HYPERLINK("http://slimages.macys.com/is/image/MCY/1083581 ")</f>
        <v xml:space="preserve">http://slimages.macys.com/is/image/MCY/1083581 </v>
      </c>
    </row>
    <row r="100" spans="1:14" ht="48" x14ac:dyDescent="0.25">
      <c r="A100" s="12" t="s">
        <v>357</v>
      </c>
      <c r="B100" s="8" t="s">
        <v>358</v>
      </c>
      <c r="C100" s="9">
        <v>1</v>
      </c>
      <c r="D100" s="10">
        <v>50</v>
      </c>
      <c r="E100" s="10">
        <v>80</v>
      </c>
      <c r="F100" s="9">
        <v>6133182900</v>
      </c>
      <c r="G100" s="8" t="s">
        <v>50</v>
      </c>
      <c r="H100" s="12" t="s">
        <v>359</v>
      </c>
      <c r="I100" s="10">
        <v>26.923076923076923</v>
      </c>
      <c r="J100" s="8" t="s">
        <v>52</v>
      </c>
      <c r="K100" s="8" t="s">
        <v>53</v>
      </c>
      <c r="L100" s="8"/>
      <c r="M100" s="8" t="s">
        <v>54</v>
      </c>
      <c r="N100" s="13" t="str">
        <f>HYPERLINK("http://slimages.macys.com/is/image/MCY/1136698 ")</f>
        <v xml:space="preserve">http://slimages.macys.com/is/image/MCY/1136698 </v>
      </c>
    </row>
    <row r="101" spans="1:14" ht="48" x14ac:dyDescent="0.25">
      <c r="A101" s="12" t="s">
        <v>360</v>
      </c>
      <c r="B101" s="8" t="s">
        <v>361</v>
      </c>
      <c r="C101" s="9">
        <v>1</v>
      </c>
      <c r="D101" s="10">
        <v>50</v>
      </c>
      <c r="E101" s="10">
        <v>75</v>
      </c>
      <c r="F101" s="9">
        <v>136740</v>
      </c>
      <c r="G101" s="8" t="s">
        <v>50</v>
      </c>
      <c r="H101" s="12" t="s">
        <v>327</v>
      </c>
      <c r="I101" s="10">
        <v>26.923076923076923</v>
      </c>
      <c r="J101" s="8" t="s">
        <v>52</v>
      </c>
      <c r="K101" s="8" t="s">
        <v>53</v>
      </c>
      <c r="L101" s="8"/>
      <c r="M101" s="8" t="s">
        <v>54</v>
      </c>
      <c r="N101" s="13" t="str">
        <f>HYPERLINK("http://slimages.macys.com/is/image/MCY/1136681 ")</f>
        <v xml:space="preserve">http://slimages.macys.com/is/image/MCY/1136681 </v>
      </c>
    </row>
    <row r="102" spans="1:14" ht="48" x14ac:dyDescent="0.25">
      <c r="A102" s="12" t="s">
        <v>362</v>
      </c>
      <c r="B102" s="8" t="s">
        <v>363</v>
      </c>
      <c r="C102" s="9">
        <v>1</v>
      </c>
      <c r="D102" s="10">
        <v>50</v>
      </c>
      <c r="E102" s="10">
        <v>99.99</v>
      </c>
      <c r="F102" s="9" t="s">
        <v>364</v>
      </c>
      <c r="G102" s="8" t="s">
        <v>35</v>
      </c>
      <c r="H102" s="12" t="s">
        <v>181</v>
      </c>
      <c r="I102" s="10">
        <v>26.923076923076923</v>
      </c>
      <c r="J102" s="8" t="s">
        <v>37</v>
      </c>
      <c r="K102" s="8" t="s">
        <v>86</v>
      </c>
      <c r="L102" s="8" t="s">
        <v>87</v>
      </c>
      <c r="M102" s="8" t="s">
        <v>39</v>
      </c>
      <c r="N102" s="13" t="str">
        <f>HYPERLINK("http://slimages.macys.com/is/image/MCY/1383444 ")</f>
        <v xml:space="preserve">http://slimages.macys.com/is/image/MCY/1383444 </v>
      </c>
    </row>
    <row r="103" spans="1:14" ht="48" x14ac:dyDescent="0.25">
      <c r="A103" s="12" t="s">
        <v>365</v>
      </c>
      <c r="B103" s="8" t="s">
        <v>366</v>
      </c>
      <c r="C103" s="9">
        <v>3</v>
      </c>
      <c r="D103" s="10">
        <v>50</v>
      </c>
      <c r="E103" s="10">
        <v>99.99</v>
      </c>
      <c r="F103" s="9" t="s">
        <v>367</v>
      </c>
      <c r="G103" s="8" t="s">
        <v>50</v>
      </c>
      <c r="H103" s="12" t="s">
        <v>174</v>
      </c>
      <c r="I103" s="10">
        <v>26.923076923076923</v>
      </c>
      <c r="J103" s="8" t="s">
        <v>37</v>
      </c>
      <c r="K103" s="8" t="s">
        <v>68</v>
      </c>
      <c r="L103" s="8"/>
      <c r="M103" s="8" t="s">
        <v>39</v>
      </c>
      <c r="N103" s="13" t="str">
        <f>HYPERLINK("http://slimages.macys.com/is/image/MCY/109121 ")</f>
        <v xml:space="preserve">http://slimages.macys.com/is/image/MCY/109121 </v>
      </c>
    </row>
    <row r="104" spans="1:14" ht="48" x14ac:dyDescent="0.25">
      <c r="A104" s="12" t="s">
        <v>365</v>
      </c>
      <c r="B104" s="8" t="s">
        <v>366</v>
      </c>
      <c r="C104" s="9">
        <v>1</v>
      </c>
      <c r="D104" s="10">
        <v>50</v>
      </c>
      <c r="E104" s="10">
        <v>99.99</v>
      </c>
      <c r="F104" s="9" t="s">
        <v>367</v>
      </c>
      <c r="G104" s="8" t="s">
        <v>50</v>
      </c>
      <c r="H104" s="12" t="s">
        <v>174</v>
      </c>
      <c r="I104" s="10">
        <v>26.923076923076923</v>
      </c>
      <c r="J104" s="8" t="s">
        <v>37</v>
      </c>
      <c r="K104" s="8" t="s">
        <v>68</v>
      </c>
      <c r="L104" s="8"/>
      <c r="M104" s="8" t="s">
        <v>39</v>
      </c>
      <c r="N104" s="13" t="str">
        <f>HYPERLINK("http://slimages.macys.com/is/image/MCY/109121 ")</f>
        <v xml:space="preserve">http://slimages.macys.com/is/image/MCY/109121 </v>
      </c>
    </row>
    <row r="105" spans="1:14" ht="48" x14ac:dyDescent="0.25">
      <c r="A105" s="12" t="s">
        <v>365</v>
      </c>
      <c r="B105" s="8" t="s">
        <v>366</v>
      </c>
      <c r="C105" s="9">
        <v>1</v>
      </c>
      <c r="D105" s="10">
        <v>50</v>
      </c>
      <c r="E105" s="10">
        <v>99.99</v>
      </c>
      <c r="F105" s="9" t="s">
        <v>367</v>
      </c>
      <c r="G105" s="8" t="s">
        <v>50</v>
      </c>
      <c r="H105" s="12" t="s">
        <v>174</v>
      </c>
      <c r="I105" s="10">
        <v>26.923076923076923</v>
      </c>
      <c r="J105" s="8" t="s">
        <v>37</v>
      </c>
      <c r="K105" s="8" t="s">
        <v>68</v>
      </c>
      <c r="L105" s="8"/>
      <c r="M105" s="8" t="s">
        <v>39</v>
      </c>
      <c r="N105" s="13" t="str">
        <f>HYPERLINK("http://slimages.macys.com/is/image/MCY/109121 ")</f>
        <v xml:space="preserve">http://slimages.macys.com/is/image/MCY/109121 </v>
      </c>
    </row>
    <row r="106" spans="1:14" ht="48" x14ac:dyDescent="0.25">
      <c r="A106" s="12" t="s">
        <v>351</v>
      </c>
      <c r="B106" s="8" t="s">
        <v>352</v>
      </c>
      <c r="C106" s="9">
        <v>1</v>
      </c>
      <c r="D106" s="10">
        <v>50</v>
      </c>
      <c r="E106" s="10">
        <v>75</v>
      </c>
      <c r="F106" s="9">
        <v>6003180600</v>
      </c>
      <c r="G106" s="8" t="s">
        <v>50</v>
      </c>
      <c r="H106" s="12" t="s">
        <v>327</v>
      </c>
      <c r="I106" s="10">
        <v>26.923076923076923</v>
      </c>
      <c r="J106" s="8" t="s">
        <v>52</v>
      </c>
      <c r="K106" s="8" t="s">
        <v>53</v>
      </c>
      <c r="L106" s="8"/>
      <c r="M106" s="8" t="s">
        <v>54</v>
      </c>
      <c r="N106" s="13" t="str">
        <f>HYPERLINK("http://slimages.macys.com/is/image/MCY/1136724 ")</f>
        <v xml:space="preserve">http://slimages.macys.com/is/image/MCY/1136724 </v>
      </c>
    </row>
    <row r="107" spans="1:14" ht="48" x14ac:dyDescent="0.25">
      <c r="A107" s="12" t="s">
        <v>368</v>
      </c>
      <c r="B107" s="8" t="s">
        <v>369</v>
      </c>
      <c r="C107" s="9">
        <v>1</v>
      </c>
      <c r="D107" s="10">
        <v>50</v>
      </c>
      <c r="E107" s="10">
        <v>100</v>
      </c>
      <c r="F107" s="9">
        <v>6719742</v>
      </c>
      <c r="G107" s="8" t="s">
        <v>50</v>
      </c>
      <c r="H107" s="12" t="s">
        <v>46</v>
      </c>
      <c r="I107" s="10">
        <v>26.923076923076923</v>
      </c>
      <c r="J107" s="8" t="s">
        <v>73</v>
      </c>
      <c r="K107" s="8" t="s">
        <v>370</v>
      </c>
      <c r="L107" s="8" t="s">
        <v>31</v>
      </c>
      <c r="M107" s="8" t="s">
        <v>54</v>
      </c>
      <c r="N107" s="13" t="str">
        <f>HYPERLINK("http://slimages.macys.com/is/image/MCY/10486314 ")</f>
        <v xml:space="preserve">http://slimages.macys.com/is/image/MCY/10486314 </v>
      </c>
    </row>
    <row r="108" spans="1:14" ht="48" x14ac:dyDescent="0.25">
      <c r="A108" s="12" t="s">
        <v>347</v>
      </c>
      <c r="B108" s="8" t="s">
        <v>348</v>
      </c>
      <c r="C108" s="9">
        <v>1</v>
      </c>
      <c r="D108" s="10">
        <v>50</v>
      </c>
      <c r="E108" s="10">
        <v>100</v>
      </c>
      <c r="F108" s="9" t="s">
        <v>349</v>
      </c>
      <c r="G108" s="8" t="s">
        <v>137</v>
      </c>
      <c r="H108" s="12" t="s">
        <v>266</v>
      </c>
      <c r="I108" s="10">
        <v>26.923076923076923</v>
      </c>
      <c r="J108" s="8" t="s">
        <v>138</v>
      </c>
      <c r="K108" s="8" t="s">
        <v>350</v>
      </c>
      <c r="L108" s="8"/>
      <c r="M108" s="8"/>
      <c r="N108" s="13" t="str">
        <f>HYPERLINK("http://slimages.macys.com/is/image/MCY/1870841 ")</f>
        <v xml:space="preserve">http://slimages.macys.com/is/image/MCY/1870841 </v>
      </c>
    </row>
    <row r="109" spans="1:14" ht="48" x14ac:dyDescent="0.25">
      <c r="A109" s="12" t="s">
        <v>371</v>
      </c>
      <c r="B109" s="8" t="s">
        <v>372</v>
      </c>
      <c r="C109" s="9">
        <v>1</v>
      </c>
      <c r="D109" s="10">
        <v>50</v>
      </c>
      <c r="E109" s="10">
        <v>107.99</v>
      </c>
      <c r="F109" s="9" t="s">
        <v>373</v>
      </c>
      <c r="G109" s="8" t="s">
        <v>374</v>
      </c>
      <c r="H109" s="12"/>
      <c r="I109" s="10">
        <v>26.923076923076923</v>
      </c>
      <c r="J109" s="8" t="s">
        <v>29</v>
      </c>
      <c r="K109" s="8" t="s">
        <v>375</v>
      </c>
      <c r="L109" s="8" t="s">
        <v>79</v>
      </c>
      <c r="M109" s="8" t="s">
        <v>376</v>
      </c>
      <c r="N109" s="13" t="str">
        <f>HYPERLINK("http://slimages.macys.com/is/image/MCY/15348925 ")</f>
        <v xml:space="preserve">http://slimages.macys.com/is/image/MCY/15348925 </v>
      </c>
    </row>
    <row r="110" spans="1:14" ht="48" x14ac:dyDescent="0.25">
      <c r="A110" s="12" t="s">
        <v>377</v>
      </c>
      <c r="B110" s="8" t="s">
        <v>378</v>
      </c>
      <c r="C110" s="9">
        <v>1</v>
      </c>
      <c r="D110" s="10">
        <v>49.8</v>
      </c>
      <c r="E110" s="10">
        <v>139.99</v>
      </c>
      <c r="F110" s="9">
        <v>10006770200</v>
      </c>
      <c r="G110" s="8" t="s">
        <v>50</v>
      </c>
      <c r="H110" s="12" t="s">
        <v>46</v>
      </c>
      <c r="I110" s="10">
        <v>26.815384615384612</v>
      </c>
      <c r="J110" s="8" t="s">
        <v>202</v>
      </c>
      <c r="K110" s="8" t="s">
        <v>379</v>
      </c>
      <c r="L110" s="8" t="s">
        <v>31</v>
      </c>
      <c r="M110" s="8" t="s">
        <v>69</v>
      </c>
      <c r="N110" s="13" t="str">
        <f>HYPERLINK("http://slimages.macys.com/is/image/MCY/12669211 ")</f>
        <v xml:space="preserve">http://slimages.macys.com/is/image/MCY/12669211 </v>
      </c>
    </row>
    <row r="111" spans="1:14" ht="60" x14ac:dyDescent="0.25">
      <c r="A111" s="12" t="s">
        <v>380</v>
      </c>
      <c r="B111" s="8" t="s">
        <v>381</v>
      </c>
      <c r="C111" s="9">
        <v>1</v>
      </c>
      <c r="D111" s="10">
        <v>49.35</v>
      </c>
      <c r="E111" s="10">
        <v>79.989999999999995</v>
      </c>
      <c r="F111" s="9">
        <v>1101651</v>
      </c>
      <c r="G111" s="8" t="s">
        <v>50</v>
      </c>
      <c r="H111" s="12" t="s">
        <v>46</v>
      </c>
      <c r="I111" s="10">
        <v>26.573076923076922</v>
      </c>
      <c r="J111" s="8" t="s">
        <v>254</v>
      </c>
      <c r="K111" s="8" t="s">
        <v>382</v>
      </c>
      <c r="L111" s="8" t="s">
        <v>383</v>
      </c>
      <c r="M111" s="8" t="s">
        <v>384</v>
      </c>
      <c r="N111" s="13" t="str">
        <f>HYPERLINK("http://slimages.macys.com/is/image/MCY/930438 ")</f>
        <v xml:space="preserve">http://slimages.macys.com/is/image/MCY/930438 </v>
      </c>
    </row>
    <row r="112" spans="1:14" ht="60" x14ac:dyDescent="0.25">
      <c r="A112" s="12" t="s">
        <v>380</v>
      </c>
      <c r="B112" s="8" t="s">
        <v>381</v>
      </c>
      <c r="C112" s="9">
        <v>1</v>
      </c>
      <c r="D112" s="10">
        <v>49.35</v>
      </c>
      <c r="E112" s="10">
        <v>79.989999999999995</v>
      </c>
      <c r="F112" s="9">
        <v>1101651</v>
      </c>
      <c r="G112" s="8" t="s">
        <v>50</v>
      </c>
      <c r="H112" s="12" t="s">
        <v>46</v>
      </c>
      <c r="I112" s="10">
        <v>26.573076923076922</v>
      </c>
      <c r="J112" s="8" t="s">
        <v>254</v>
      </c>
      <c r="K112" s="8" t="s">
        <v>382</v>
      </c>
      <c r="L112" s="8" t="s">
        <v>383</v>
      </c>
      <c r="M112" s="8" t="s">
        <v>384</v>
      </c>
      <c r="N112" s="13" t="str">
        <f>HYPERLINK("http://slimages.macys.com/is/image/MCY/930438 ")</f>
        <v xml:space="preserve">http://slimages.macys.com/is/image/MCY/930438 </v>
      </c>
    </row>
    <row r="113" spans="1:14" ht="60" x14ac:dyDescent="0.25">
      <c r="A113" s="12" t="s">
        <v>385</v>
      </c>
      <c r="B113" s="8" t="s">
        <v>386</v>
      </c>
      <c r="C113" s="9">
        <v>3</v>
      </c>
      <c r="D113" s="10">
        <v>48</v>
      </c>
      <c r="E113" s="10">
        <v>100</v>
      </c>
      <c r="F113" s="9" t="s">
        <v>387</v>
      </c>
      <c r="G113" s="8" t="s">
        <v>50</v>
      </c>
      <c r="H113" s="12" t="s">
        <v>46</v>
      </c>
      <c r="I113" s="10">
        <v>25.846153846153847</v>
      </c>
      <c r="J113" s="8" t="s">
        <v>262</v>
      </c>
      <c r="K113" s="8" t="s">
        <v>263</v>
      </c>
      <c r="L113" s="8" t="s">
        <v>388</v>
      </c>
      <c r="M113" s="8" t="s">
        <v>389</v>
      </c>
      <c r="N113" s="13" t="str">
        <f>HYPERLINK("http://images.bloomingdales.com/is/image/BLM/9589098 ")</f>
        <v xml:space="preserve">http://images.bloomingdales.com/is/image/BLM/9589098 </v>
      </c>
    </row>
    <row r="114" spans="1:14" ht="48" x14ac:dyDescent="0.25">
      <c r="A114" s="12" t="s">
        <v>390</v>
      </c>
      <c r="B114" s="8" t="s">
        <v>391</v>
      </c>
      <c r="C114" s="9">
        <v>1</v>
      </c>
      <c r="D114" s="10">
        <v>47.89</v>
      </c>
      <c r="E114" s="10">
        <v>78.989999999999995</v>
      </c>
      <c r="F114" s="9" t="s">
        <v>392</v>
      </c>
      <c r="G114" s="8" t="s">
        <v>393</v>
      </c>
      <c r="H114" s="12"/>
      <c r="I114" s="10">
        <v>25.786923076923078</v>
      </c>
      <c r="J114" s="8" t="s">
        <v>209</v>
      </c>
      <c r="K114" s="8" t="s">
        <v>210</v>
      </c>
      <c r="L114" s="8" t="s">
        <v>79</v>
      </c>
      <c r="M114" s="8" t="s">
        <v>376</v>
      </c>
      <c r="N114" s="13" t="str">
        <f>HYPERLINK("http://slimages.macys.com/is/image/MCY/2754316 ")</f>
        <v xml:space="preserve">http://slimages.macys.com/is/image/MCY/2754316 </v>
      </c>
    </row>
    <row r="115" spans="1:14" ht="132" x14ac:dyDescent="0.25">
      <c r="A115" s="12" t="s">
        <v>394</v>
      </c>
      <c r="B115" s="8" t="s">
        <v>395</v>
      </c>
      <c r="C115" s="9">
        <v>1</v>
      </c>
      <c r="D115" s="10">
        <v>47.75</v>
      </c>
      <c r="E115" s="10">
        <v>105</v>
      </c>
      <c r="F115" s="9">
        <v>110698</v>
      </c>
      <c r="G115" s="8" t="s">
        <v>50</v>
      </c>
      <c r="H115" s="12" t="s">
        <v>46</v>
      </c>
      <c r="I115" s="10">
        <v>25.71153846153846</v>
      </c>
      <c r="J115" s="8" t="s">
        <v>122</v>
      </c>
      <c r="K115" s="8" t="s">
        <v>74</v>
      </c>
      <c r="L115" s="8" t="s">
        <v>31</v>
      </c>
      <c r="M115" s="8" t="s">
        <v>396</v>
      </c>
      <c r="N115" s="13" t="str">
        <f>HYPERLINK("http://slimages.macys.com/is/image/MCY/981940 ")</f>
        <v xml:space="preserve">http://slimages.macys.com/is/image/MCY/981940 </v>
      </c>
    </row>
    <row r="116" spans="1:14" ht="48" x14ac:dyDescent="0.25">
      <c r="A116" s="12" t="s">
        <v>397</v>
      </c>
      <c r="B116" s="8" t="s">
        <v>398</v>
      </c>
      <c r="C116" s="9">
        <v>1</v>
      </c>
      <c r="D116" s="10">
        <v>47.75</v>
      </c>
      <c r="E116" s="10">
        <v>105</v>
      </c>
      <c r="F116" s="9">
        <v>112410</v>
      </c>
      <c r="G116" s="8" t="s">
        <v>50</v>
      </c>
      <c r="H116" s="12" t="s">
        <v>46</v>
      </c>
      <c r="I116" s="10">
        <v>25.71153846153846</v>
      </c>
      <c r="J116" s="8" t="s">
        <v>73</v>
      </c>
      <c r="K116" s="8" t="s">
        <v>74</v>
      </c>
      <c r="L116" s="8"/>
      <c r="M116" s="8"/>
      <c r="N116" s="13" t="str">
        <f>HYPERLINK("http://slimages.macys.com/is/image/MCY/18339879 ")</f>
        <v xml:space="preserve">http://slimages.macys.com/is/image/MCY/18339879 </v>
      </c>
    </row>
    <row r="117" spans="1:14" ht="48" x14ac:dyDescent="0.25">
      <c r="A117" s="12" t="s">
        <v>399</v>
      </c>
      <c r="B117" s="8" t="s">
        <v>400</v>
      </c>
      <c r="C117" s="9">
        <v>1</v>
      </c>
      <c r="D117" s="10">
        <v>47.12</v>
      </c>
      <c r="E117" s="10">
        <v>89.99</v>
      </c>
      <c r="F117" s="9">
        <v>5263394</v>
      </c>
      <c r="G117" s="8" t="s">
        <v>35</v>
      </c>
      <c r="H117" s="12" t="s">
        <v>266</v>
      </c>
      <c r="I117" s="10">
        <v>25.372307692307693</v>
      </c>
      <c r="J117" s="8" t="s">
        <v>37</v>
      </c>
      <c r="K117" s="8" t="s">
        <v>139</v>
      </c>
      <c r="L117" s="8" t="s">
        <v>31</v>
      </c>
      <c r="M117" s="8" t="s">
        <v>39</v>
      </c>
      <c r="N117" s="13" t="str">
        <f>HYPERLINK("http://slimages.macys.com/is/image/MCY/15898452 ")</f>
        <v xml:space="preserve">http://slimages.macys.com/is/image/MCY/15898452 </v>
      </c>
    </row>
    <row r="118" spans="1:14" ht="48" x14ac:dyDescent="0.25">
      <c r="A118" s="12" t="s">
        <v>401</v>
      </c>
      <c r="B118" s="8" t="s">
        <v>402</v>
      </c>
      <c r="C118" s="9">
        <v>1</v>
      </c>
      <c r="D118" s="10">
        <v>47</v>
      </c>
      <c r="E118" s="10">
        <v>123.99</v>
      </c>
      <c r="F118" s="9" t="s">
        <v>403</v>
      </c>
      <c r="G118" s="8" t="s">
        <v>153</v>
      </c>
      <c r="H118" s="12" t="s">
        <v>46</v>
      </c>
      <c r="I118" s="10">
        <v>25.307692307692307</v>
      </c>
      <c r="J118" s="8" t="s">
        <v>29</v>
      </c>
      <c r="K118" s="8" t="s">
        <v>404</v>
      </c>
      <c r="L118" s="8" t="s">
        <v>31</v>
      </c>
      <c r="M118" s="8" t="s">
        <v>405</v>
      </c>
      <c r="N118" s="13" t="str">
        <f>HYPERLINK("http://slimages.macys.com/is/image/MCY/15986307 ")</f>
        <v xml:space="preserve">http://slimages.macys.com/is/image/MCY/15986307 </v>
      </c>
    </row>
    <row r="119" spans="1:14" ht="60" x14ac:dyDescent="0.25">
      <c r="A119" s="12" t="s">
        <v>406</v>
      </c>
      <c r="B119" s="8" t="s">
        <v>407</v>
      </c>
      <c r="C119" s="9">
        <v>1</v>
      </c>
      <c r="D119" s="10">
        <v>46.79</v>
      </c>
      <c r="E119" s="10">
        <v>129.99</v>
      </c>
      <c r="F119" s="9">
        <v>10014021600</v>
      </c>
      <c r="G119" s="8" t="s">
        <v>50</v>
      </c>
      <c r="H119" s="12" t="s">
        <v>46</v>
      </c>
      <c r="I119" s="10">
        <v>25.194615384615386</v>
      </c>
      <c r="J119" s="8" t="s">
        <v>202</v>
      </c>
      <c r="K119" s="8" t="s">
        <v>408</v>
      </c>
      <c r="L119" s="8"/>
      <c r="M119" s="8"/>
      <c r="N119" s="13" t="str">
        <f>HYPERLINK("http://slimages.macys.com/is/image/MCY/21488684 ")</f>
        <v xml:space="preserve">http://slimages.macys.com/is/image/MCY/21488684 </v>
      </c>
    </row>
    <row r="120" spans="1:14" ht="48" x14ac:dyDescent="0.25">
      <c r="A120" s="12" t="s">
        <v>409</v>
      </c>
      <c r="B120" s="8" t="s">
        <v>410</v>
      </c>
      <c r="C120" s="9">
        <v>1</v>
      </c>
      <c r="D120" s="10">
        <v>45.53</v>
      </c>
      <c r="E120" s="10">
        <v>82.99</v>
      </c>
      <c r="F120" s="9" t="s">
        <v>411</v>
      </c>
      <c r="G120" s="8" t="s">
        <v>50</v>
      </c>
      <c r="H120" s="12" t="s">
        <v>46</v>
      </c>
      <c r="I120" s="10">
        <v>24.516153846153845</v>
      </c>
      <c r="J120" s="8" t="s">
        <v>313</v>
      </c>
      <c r="K120" s="8" t="s">
        <v>412</v>
      </c>
      <c r="L120" s="8" t="s">
        <v>31</v>
      </c>
      <c r="M120" s="8" t="s">
        <v>413</v>
      </c>
      <c r="N120" s="13" t="str">
        <f>HYPERLINK("http://slimages.macys.com/is/image/MCY/11612280 ")</f>
        <v xml:space="preserve">http://slimages.macys.com/is/image/MCY/11612280 </v>
      </c>
    </row>
    <row r="121" spans="1:14" ht="48" x14ac:dyDescent="0.25">
      <c r="A121" s="12" t="s">
        <v>414</v>
      </c>
      <c r="B121" s="8" t="s">
        <v>415</v>
      </c>
      <c r="C121" s="9">
        <v>1</v>
      </c>
      <c r="D121" s="10">
        <v>45</v>
      </c>
      <c r="E121" s="10">
        <v>90</v>
      </c>
      <c r="F121" s="9">
        <v>155975</v>
      </c>
      <c r="G121" s="8" t="s">
        <v>50</v>
      </c>
      <c r="H121" s="12" t="s">
        <v>359</v>
      </c>
      <c r="I121" s="10">
        <v>24.23076923076923</v>
      </c>
      <c r="J121" s="8" t="s">
        <v>52</v>
      </c>
      <c r="K121" s="8" t="s">
        <v>53</v>
      </c>
      <c r="L121" s="8"/>
      <c r="M121" s="8" t="s">
        <v>54</v>
      </c>
      <c r="N121" s="13" t="str">
        <f>HYPERLINK("http://slimages.macys.com/is/image/MCY/3877989 ")</f>
        <v xml:space="preserve">http://slimages.macys.com/is/image/MCY/3877989 </v>
      </c>
    </row>
    <row r="122" spans="1:14" ht="48" x14ac:dyDescent="0.25">
      <c r="A122" s="12" t="s">
        <v>416</v>
      </c>
      <c r="B122" s="8" t="s">
        <v>417</v>
      </c>
      <c r="C122" s="9">
        <v>1</v>
      </c>
      <c r="D122" s="10">
        <v>45</v>
      </c>
      <c r="E122" s="10">
        <v>89.99</v>
      </c>
      <c r="F122" s="9" t="s">
        <v>418</v>
      </c>
      <c r="G122" s="8" t="s">
        <v>84</v>
      </c>
      <c r="H122" s="12" t="s">
        <v>419</v>
      </c>
      <c r="I122" s="10">
        <v>24.23076923076923</v>
      </c>
      <c r="J122" s="8" t="s">
        <v>313</v>
      </c>
      <c r="K122" s="8" t="s">
        <v>420</v>
      </c>
      <c r="L122" s="8"/>
      <c r="M122" s="8" t="s">
        <v>69</v>
      </c>
      <c r="N122" s="13" t="str">
        <f>HYPERLINK("http://slimages.macys.com/is/image/MCY/97545 ")</f>
        <v xml:space="preserve">http://slimages.macys.com/is/image/MCY/97545 </v>
      </c>
    </row>
    <row r="123" spans="1:14" ht="48" x14ac:dyDescent="0.25">
      <c r="A123" s="12" t="s">
        <v>421</v>
      </c>
      <c r="B123" s="8" t="s">
        <v>422</v>
      </c>
      <c r="C123" s="9">
        <v>1</v>
      </c>
      <c r="D123" s="10">
        <v>45</v>
      </c>
      <c r="E123" s="10">
        <v>90</v>
      </c>
      <c r="F123" s="9">
        <v>155973</v>
      </c>
      <c r="G123" s="8" t="s">
        <v>50</v>
      </c>
      <c r="H123" s="12"/>
      <c r="I123" s="10">
        <v>24.23076923076923</v>
      </c>
      <c r="J123" s="8" t="s">
        <v>52</v>
      </c>
      <c r="K123" s="8" t="s">
        <v>53</v>
      </c>
      <c r="L123" s="8"/>
      <c r="M123" s="8" t="s">
        <v>54</v>
      </c>
      <c r="N123" s="13" t="str">
        <f>HYPERLINK("http://slimages.macys.com/is/image/MCY/3877988 ")</f>
        <v xml:space="preserve">http://slimages.macys.com/is/image/MCY/3877988 </v>
      </c>
    </row>
    <row r="124" spans="1:14" ht="48" x14ac:dyDescent="0.25">
      <c r="A124" s="12" t="s">
        <v>423</v>
      </c>
      <c r="B124" s="8" t="s">
        <v>424</v>
      </c>
      <c r="C124" s="9">
        <v>1</v>
      </c>
      <c r="D124" s="10">
        <v>45</v>
      </c>
      <c r="E124" s="10">
        <v>42.5</v>
      </c>
      <c r="F124" s="9">
        <v>6086</v>
      </c>
      <c r="G124" s="8" t="s">
        <v>168</v>
      </c>
      <c r="H124" s="12" t="s">
        <v>425</v>
      </c>
      <c r="I124" s="10">
        <v>24.23076923076923</v>
      </c>
      <c r="J124" s="8" t="s">
        <v>73</v>
      </c>
      <c r="K124" s="8" t="s">
        <v>196</v>
      </c>
      <c r="L124" s="8" t="s">
        <v>31</v>
      </c>
      <c r="M124" s="8" t="s">
        <v>426</v>
      </c>
      <c r="N124" s="13" t="str">
        <f>HYPERLINK("http://slimages.macys.com/is/image/MCY/1230698 ")</f>
        <v xml:space="preserve">http://slimages.macys.com/is/image/MCY/1230698 </v>
      </c>
    </row>
    <row r="125" spans="1:14" ht="48" x14ac:dyDescent="0.25">
      <c r="A125" s="12" t="s">
        <v>427</v>
      </c>
      <c r="B125" s="8" t="s">
        <v>428</v>
      </c>
      <c r="C125" s="9">
        <v>1</v>
      </c>
      <c r="D125" s="10">
        <v>45</v>
      </c>
      <c r="E125" s="10">
        <v>89.99</v>
      </c>
      <c r="F125" s="9" t="s">
        <v>429</v>
      </c>
      <c r="G125" s="8" t="s">
        <v>35</v>
      </c>
      <c r="H125" s="12"/>
      <c r="I125" s="10">
        <v>24.23076923076923</v>
      </c>
      <c r="J125" s="8" t="s">
        <v>313</v>
      </c>
      <c r="K125" s="8" t="s">
        <v>420</v>
      </c>
      <c r="L125" s="8" t="s">
        <v>31</v>
      </c>
      <c r="M125" s="8" t="s">
        <v>430</v>
      </c>
      <c r="N125" s="13" t="str">
        <f>HYPERLINK("http://slimages.macys.com/is/image/MCY/16260399 ")</f>
        <v xml:space="preserve">http://slimages.macys.com/is/image/MCY/16260399 </v>
      </c>
    </row>
    <row r="126" spans="1:14" ht="48" x14ac:dyDescent="0.25">
      <c r="A126" s="12" t="s">
        <v>431</v>
      </c>
      <c r="B126" s="8" t="s">
        <v>432</v>
      </c>
      <c r="C126" s="9">
        <v>1</v>
      </c>
      <c r="D126" s="10">
        <v>45</v>
      </c>
      <c r="E126" s="10">
        <v>90</v>
      </c>
      <c r="F126" s="9">
        <v>155972</v>
      </c>
      <c r="G126" s="8" t="s">
        <v>50</v>
      </c>
      <c r="H126" s="12" t="s">
        <v>433</v>
      </c>
      <c r="I126" s="10">
        <v>24.23076923076923</v>
      </c>
      <c r="J126" s="8" t="s">
        <v>52</v>
      </c>
      <c r="K126" s="8" t="s">
        <v>53</v>
      </c>
      <c r="L126" s="8"/>
      <c r="M126" s="8" t="s">
        <v>54</v>
      </c>
      <c r="N126" s="13" t="str">
        <f>HYPERLINK("http://slimages.macys.com/is/image/MCY/3877990 ")</f>
        <v xml:space="preserve">http://slimages.macys.com/is/image/MCY/3877990 </v>
      </c>
    </row>
    <row r="127" spans="1:14" ht="60" x14ac:dyDescent="0.25">
      <c r="A127" s="12" t="s">
        <v>434</v>
      </c>
      <c r="B127" s="8" t="s">
        <v>435</v>
      </c>
      <c r="C127" s="9">
        <v>1</v>
      </c>
      <c r="D127" s="10">
        <v>44.94</v>
      </c>
      <c r="E127" s="10">
        <v>119.99</v>
      </c>
      <c r="F127" s="9">
        <v>10005035400</v>
      </c>
      <c r="G127" s="8" t="s">
        <v>35</v>
      </c>
      <c r="H127" s="12" t="s">
        <v>51</v>
      </c>
      <c r="I127" s="10">
        <v>24.198461538461537</v>
      </c>
      <c r="J127" s="8" t="s">
        <v>202</v>
      </c>
      <c r="K127" s="8" t="s">
        <v>203</v>
      </c>
      <c r="L127" s="8" t="s">
        <v>31</v>
      </c>
      <c r="M127" s="8" t="s">
        <v>69</v>
      </c>
      <c r="N127" s="13" t="str">
        <f>HYPERLINK("http://slimages.macys.com/is/image/MCY/3137268 ")</f>
        <v xml:space="preserve">http://slimages.macys.com/is/image/MCY/3137268 </v>
      </c>
    </row>
    <row r="128" spans="1:14" ht="48" x14ac:dyDescent="0.25">
      <c r="A128" s="12" t="s">
        <v>436</v>
      </c>
      <c r="B128" s="8" t="s">
        <v>437</v>
      </c>
      <c r="C128" s="9">
        <v>1</v>
      </c>
      <c r="D128" s="10">
        <v>43.15</v>
      </c>
      <c r="E128" s="10">
        <v>89</v>
      </c>
      <c r="F128" s="9">
        <v>551530</v>
      </c>
      <c r="G128" s="8" t="s">
        <v>50</v>
      </c>
      <c r="H128" s="12" t="s">
        <v>46</v>
      </c>
      <c r="I128" s="10">
        <v>23.234615384615381</v>
      </c>
      <c r="J128" s="8" t="s">
        <v>262</v>
      </c>
      <c r="K128" s="8" t="s">
        <v>263</v>
      </c>
      <c r="L128" s="8" t="s">
        <v>438</v>
      </c>
      <c r="M128" s="8" t="s">
        <v>54</v>
      </c>
      <c r="N128" s="13" t="str">
        <f>HYPERLINK("http://slimages.macys.com/is/image/MCY/10631060 ")</f>
        <v xml:space="preserve">http://slimages.macys.com/is/image/MCY/10631060 </v>
      </c>
    </row>
    <row r="129" spans="1:14" ht="48" x14ac:dyDescent="0.25">
      <c r="A129" s="12" t="s">
        <v>439</v>
      </c>
      <c r="B129" s="8" t="s">
        <v>440</v>
      </c>
      <c r="C129" s="9">
        <v>1</v>
      </c>
      <c r="D129" s="10">
        <v>43</v>
      </c>
      <c r="E129" s="10">
        <v>85.99</v>
      </c>
      <c r="F129" s="9">
        <v>151175</v>
      </c>
      <c r="G129" s="8" t="s">
        <v>50</v>
      </c>
      <c r="H129" s="12"/>
      <c r="I129" s="10">
        <v>23.153846153846153</v>
      </c>
      <c r="J129" s="8" t="s">
        <v>313</v>
      </c>
      <c r="K129" s="8" t="s">
        <v>441</v>
      </c>
      <c r="L129" s="8"/>
      <c r="M129" s="8" t="s">
        <v>54</v>
      </c>
      <c r="N129" s="13" t="str">
        <f>HYPERLINK("http://slimages.macys.com/is/image/MCY/531164 ")</f>
        <v xml:space="preserve">http://slimages.macys.com/is/image/MCY/531164 </v>
      </c>
    </row>
    <row r="130" spans="1:14" ht="60" x14ac:dyDescent="0.25">
      <c r="A130" s="12" t="s">
        <v>442</v>
      </c>
      <c r="B130" s="8" t="s">
        <v>443</v>
      </c>
      <c r="C130" s="9">
        <v>1</v>
      </c>
      <c r="D130" s="10">
        <v>42.76</v>
      </c>
      <c r="E130" s="10">
        <v>129.99</v>
      </c>
      <c r="F130" s="9">
        <v>10013053600</v>
      </c>
      <c r="G130" s="8" t="s">
        <v>50</v>
      </c>
      <c r="H130" s="12" t="s">
        <v>46</v>
      </c>
      <c r="I130" s="10">
        <v>23.024615384615384</v>
      </c>
      <c r="J130" s="8" t="s">
        <v>202</v>
      </c>
      <c r="K130" s="8" t="s">
        <v>408</v>
      </c>
      <c r="L130" s="8"/>
      <c r="M130" s="8"/>
      <c r="N130" s="13" t="str">
        <f>HYPERLINK("http://slimages.macys.com/is/image/MCY/19140703 ")</f>
        <v xml:space="preserve">http://slimages.macys.com/is/image/MCY/19140703 </v>
      </c>
    </row>
    <row r="131" spans="1:14" ht="60" x14ac:dyDescent="0.25">
      <c r="A131" s="12" t="s">
        <v>442</v>
      </c>
      <c r="B131" s="8" t="s">
        <v>443</v>
      </c>
      <c r="C131" s="9">
        <v>1</v>
      </c>
      <c r="D131" s="10">
        <v>42.76</v>
      </c>
      <c r="E131" s="10">
        <v>129.99</v>
      </c>
      <c r="F131" s="9">
        <v>10013053600</v>
      </c>
      <c r="G131" s="8" t="s">
        <v>50</v>
      </c>
      <c r="H131" s="12" t="s">
        <v>46</v>
      </c>
      <c r="I131" s="10">
        <v>23.024615384615384</v>
      </c>
      <c r="J131" s="8" t="s">
        <v>202</v>
      </c>
      <c r="K131" s="8" t="s">
        <v>408</v>
      </c>
      <c r="L131" s="8"/>
      <c r="M131" s="8"/>
      <c r="N131" s="13" t="str">
        <f>HYPERLINK("http://slimages.macys.com/is/image/MCY/19140703 ")</f>
        <v xml:space="preserve">http://slimages.macys.com/is/image/MCY/19140703 </v>
      </c>
    </row>
    <row r="132" spans="1:14" ht="60" x14ac:dyDescent="0.25">
      <c r="A132" s="12" t="s">
        <v>442</v>
      </c>
      <c r="B132" s="8" t="s">
        <v>443</v>
      </c>
      <c r="C132" s="9">
        <v>1</v>
      </c>
      <c r="D132" s="10">
        <v>42.76</v>
      </c>
      <c r="E132" s="10">
        <v>129.99</v>
      </c>
      <c r="F132" s="9">
        <v>10013053600</v>
      </c>
      <c r="G132" s="8" t="s">
        <v>50</v>
      </c>
      <c r="H132" s="12" t="s">
        <v>46</v>
      </c>
      <c r="I132" s="10">
        <v>23.024615384615384</v>
      </c>
      <c r="J132" s="8" t="s">
        <v>202</v>
      </c>
      <c r="K132" s="8" t="s">
        <v>408</v>
      </c>
      <c r="L132" s="8"/>
      <c r="M132" s="8"/>
      <c r="N132" s="13" t="str">
        <f>HYPERLINK("http://slimages.macys.com/is/image/MCY/19140703 ")</f>
        <v xml:space="preserve">http://slimages.macys.com/is/image/MCY/19140703 </v>
      </c>
    </row>
    <row r="133" spans="1:14" ht="48" x14ac:dyDescent="0.25">
      <c r="A133" s="12" t="s">
        <v>444</v>
      </c>
      <c r="B133" s="8" t="s">
        <v>445</v>
      </c>
      <c r="C133" s="9">
        <v>1</v>
      </c>
      <c r="D133" s="10">
        <v>42.5</v>
      </c>
      <c r="E133" s="10">
        <v>70</v>
      </c>
      <c r="F133" s="9">
        <v>40030725</v>
      </c>
      <c r="G133" s="8" t="s">
        <v>137</v>
      </c>
      <c r="H133" s="12" t="s">
        <v>266</v>
      </c>
      <c r="I133" s="10">
        <v>22.884615384615383</v>
      </c>
      <c r="J133" s="8" t="s">
        <v>138</v>
      </c>
      <c r="K133" s="8" t="s">
        <v>267</v>
      </c>
      <c r="L133" s="8"/>
      <c r="M133" s="8"/>
      <c r="N133" s="13" t="str">
        <f>HYPERLINK("http://slimages.macys.com/is/image/MCY/11774230 ")</f>
        <v xml:space="preserve">http://slimages.macys.com/is/image/MCY/11774230 </v>
      </c>
    </row>
    <row r="134" spans="1:14" ht="48" x14ac:dyDescent="0.25">
      <c r="A134" s="12" t="s">
        <v>446</v>
      </c>
      <c r="B134" s="8" t="s">
        <v>447</v>
      </c>
      <c r="C134" s="9">
        <v>1</v>
      </c>
      <c r="D134" s="10">
        <v>42.17</v>
      </c>
      <c r="E134" s="10">
        <v>119.99</v>
      </c>
      <c r="F134" s="9" t="s">
        <v>448</v>
      </c>
      <c r="G134" s="8" t="s">
        <v>67</v>
      </c>
      <c r="H134" s="12" t="s">
        <v>232</v>
      </c>
      <c r="I134" s="10">
        <v>22.706923076923076</v>
      </c>
      <c r="J134" s="8" t="s">
        <v>138</v>
      </c>
      <c r="K134" s="8" t="s">
        <v>449</v>
      </c>
      <c r="L134" s="8" t="s">
        <v>31</v>
      </c>
      <c r="M134" s="8" t="s">
        <v>123</v>
      </c>
      <c r="N134" s="13" t="str">
        <f>HYPERLINK("http://slimages.macys.com/is/image/MCY/8094937 ")</f>
        <v xml:space="preserve">http://slimages.macys.com/is/image/MCY/8094937 </v>
      </c>
    </row>
    <row r="135" spans="1:14" ht="48" x14ac:dyDescent="0.25">
      <c r="A135" s="12" t="s">
        <v>450</v>
      </c>
      <c r="B135" s="8" t="s">
        <v>451</v>
      </c>
      <c r="C135" s="9">
        <v>1</v>
      </c>
      <c r="D135" s="10">
        <v>41.25</v>
      </c>
      <c r="E135" s="10">
        <v>149</v>
      </c>
      <c r="F135" s="9">
        <v>1050331</v>
      </c>
      <c r="G135" s="8" t="s">
        <v>50</v>
      </c>
      <c r="H135" s="12"/>
      <c r="I135" s="10">
        <v>22.21153846153846</v>
      </c>
      <c r="J135" s="8" t="s">
        <v>52</v>
      </c>
      <c r="K135" s="8" t="s">
        <v>53</v>
      </c>
      <c r="L135" s="8"/>
      <c r="M135" s="8"/>
      <c r="N135" s="13" t="str">
        <f>HYPERLINK("http://slimages.macys.com/is/image/MCY/16793793 ")</f>
        <v xml:space="preserve">http://slimages.macys.com/is/image/MCY/16793793 </v>
      </c>
    </row>
    <row r="136" spans="1:14" ht="48" x14ac:dyDescent="0.25">
      <c r="A136" s="12" t="s">
        <v>452</v>
      </c>
      <c r="B136" s="8" t="s">
        <v>453</v>
      </c>
      <c r="C136" s="9">
        <v>1</v>
      </c>
      <c r="D136" s="10">
        <v>40.79</v>
      </c>
      <c r="E136" s="10">
        <v>57.99</v>
      </c>
      <c r="F136" s="9">
        <v>528</v>
      </c>
      <c r="G136" s="8" t="s">
        <v>454</v>
      </c>
      <c r="H136" s="12" t="s">
        <v>46</v>
      </c>
      <c r="I136" s="10">
        <v>21.963846153846152</v>
      </c>
      <c r="J136" s="8" t="s">
        <v>29</v>
      </c>
      <c r="K136" s="8" t="s">
        <v>455</v>
      </c>
      <c r="L136" s="8" t="s">
        <v>31</v>
      </c>
      <c r="M136" s="8" t="s">
        <v>456</v>
      </c>
      <c r="N136" s="13" t="str">
        <f>HYPERLINK("http://slimages.macys.com/is/image/MCY/9655095 ")</f>
        <v xml:space="preserve">http://slimages.macys.com/is/image/MCY/9655095 </v>
      </c>
    </row>
    <row r="137" spans="1:14" ht="48" x14ac:dyDescent="0.25">
      <c r="A137" s="12" t="s">
        <v>457</v>
      </c>
      <c r="B137" s="8" t="s">
        <v>458</v>
      </c>
      <c r="C137" s="9">
        <v>1</v>
      </c>
      <c r="D137" s="10">
        <v>40</v>
      </c>
      <c r="E137" s="10">
        <v>80</v>
      </c>
      <c r="F137" s="9" t="s">
        <v>459</v>
      </c>
      <c r="G137" s="8" t="s">
        <v>137</v>
      </c>
      <c r="H137" s="12" t="s">
        <v>266</v>
      </c>
      <c r="I137" s="10">
        <v>21.538461538461537</v>
      </c>
      <c r="J137" s="8" t="s">
        <v>138</v>
      </c>
      <c r="K137" s="8" t="s">
        <v>350</v>
      </c>
      <c r="L137" s="8"/>
      <c r="M137" s="8" t="s">
        <v>460</v>
      </c>
      <c r="N137" s="13" t="str">
        <f>HYPERLINK("http://slimages.macys.com/is/image/MCY/857292 ")</f>
        <v xml:space="preserve">http://slimages.macys.com/is/image/MCY/857292 </v>
      </c>
    </row>
    <row r="138" spans="1:14" ht="48" x14ac:dyDescent="0.25">
      <c r="A138" s="12" t="s">
        <v>461</v>
      </c>
      <c r="B138" s="8" t="s">
        <v>462</v>
      </c>
      <c r="C138" s="9">
        <v>1</v>
      </c>
      <c r="D138" s="10">
        <v>40</v>
      </c>
      <c r="E138" s="10">
        <v>79.989999999999995</v>
      </c>
      <c r="F138" s="9" t="s">
        <v>463</v>
      </c>
      <c r="G138" s="8" t="s">
        <v>35</v>
      </c>
      <c r="H138" s="12"/>
      <c r="I138" s="10">
        <v>21.538461538461537</v>
      </c>
      <c r="J138" s="8" t="s">
        <v>313</v>
      </c>
      <c r="K138" s="8" t="s">
        <v>420</v>
      </c>
      <c r="L138" s="8" t="s">
        <v>31</v>
      </c>
      <c r="M138" s="8" t="s">
        <v>430</v>
      </c>
      <c r="N138" s="13" t="str">
        <f>HYPERLINK("http://slimages.macys.com/is/image/MCY/16260401 ")</f>
        <v xml:space="preserve">http://slimages.macys.com/is/image/MCY/16260401 </v>
      </c>
    </row>
    <row r="139" spans="1:14" ht="48" x14ac:dyDescent="0.25">
      <c r="A139" s="12" t="s">
        <v>464</v>
      </c>
      <c r="B139" s="8" t="s">
        <v>465</v>
      </c>
      <c r="C139" s="9">
        <v>1</v>
      </c>
      <c r="D139" s="10">
        <v>40</v>
      </c>
      <c r="E139" s="10">
        <v>80</v>
      </c>
      <c r="F139" s="9">
        <v>154392</v>
      </c>
      <c r="G139" s="8" t="s">
        <v>50</v>
      </c>
      <c r="H139" s="12" t="s">
        <v>433</v>
      </c>
      <c r="I139" s="10">
        <v>21.538461538461537</v>
      </c>
      <c r="J139" s="8" t="s">
        <v>52</v>
      </c>
      <c r="K139" s="8" t="s">
        <v>53</v>
      </c>
      <c r="L139" s="8"/>
      <c r="M139" s="8"/>
      <c r="N139" s="13" t="str">
        <f>HYPERLINK("http://slimages.macys.com/is/image/MCY/841378 ")</f>
        <v xml:space="preserve">http://slimages.macys.com/is/image/MCY/841378 </v>
      </c>
    </row>
    <row r="140" spans="1:14" ht="48" x14ac:dyDescent="0.25">
      <c r="A140" s="12" t="s">
        <v>466</v>
      </c>
      <c r="B140" s="8" t="s">
        <v>467</v>
      </c>
      <c r="C140" s="9">
        <v>1</v>
      </c>
      <c r="D140" s="10">
        <v>40</v>
      </c>
      <c r="E140" s="10">
        <v>80</v>
      </c>
      <c r="F140" s="9">
        <v>154395</v>
      </c>
      <c r="G140" s="8" t="s">
        <v>50</v>
      </c>
      <c r="H140" s="12" t="s">
        <v>359</v>
      </c>
      <c r="I140" s="10">
        <v>21.538461538461537</v>
      </c>
      <c r="J140" s="8" t="s">
        <v>52</v>
      </c>
      <c r="K140" s="8" t="s">
        <v>53</v>
      </c>
      <c r="L140" s="8"/>
      <c r="M140" s="8" t="s">
        <v>54</v>
      </c>
      <c r="N140" s="13" t="str">
        <f>HYPERLINK("http://slimages.macys.com/is/image/MCY/841381 ")</f>
        <v xml:space="preserve">http://slimages.macys.com/is/image/MCY/841381 </v>
      </c>
    </row>
    <row r="141" spans="1:14" ht="48" x14ac:dyDescent="0.25">
      <c r="A141" s="12" t="s">
        <v>468</v>
      </c>
      <c r="B141" s="8" t="s">
        <v>469</v>
      </c>
      <c r="C141" s="9">
        <v>2</v>
      </c>
      <c r="D141" s="10">
        <v>40</v>
      </c>
      <c r="E141" s="10">
        <v>99.99</v>
      </c>
      <c r="F141" s="9">
        <v>104017</v>
      </c>
      <c r="G141" s="8" t="s">
        <v>50</v>
      </c>
      <c r="H141" s="12" t="s">
        <v>46</v>
      </c>
      <c r="I141" s="10">
        <v>21.538461538461537</v>
      </c>
      <c r="J141" s="8" t="s">
        <v>29</v>
      </c>
      <c r="K141" s="8" t="s">
        <v>470</v>
      </c>
      <c r="L141" s="8" t="s">
        <v>31</v>
      </c>
      <c r="M141" s="8" t="s">
        <v>471</v>
      </c>
      <c r="N141" s="13" t="str">
        <f>HYPERLINK("http://slimages.macys.com/is/image/MCY/9051028 ")</f>
        <v xml:space="preserve">http://slimages.macys.com/is/image/MCY/9051028 </v>
      </c>
    </row>
    <row r="142" spans="1:14" ht="48" x14ac:dyDescent="0.25">
      <c r="A142" s="12" t="s">
        <v>472</v>
      </c>
      <c r="B142" s="8" t="s">
        <v>473</v>
      </c>
      <c r="C142" s="9">
        <v>2</v>
      </c>
      <c r="D142" s="10">
        <v>39.99</v>
      </c>
      <c r="E142" s="10">
        <v>105.99</v>
      </c>
      <c r="F142" s="9" t="s">
        <v>474</v>
      </c>
      <c r="G142" s="8" t="s">
        <v>475</v>
      </c>
      <c r="H142" s="12" t="s">
        <v>46</v>
      </c>
      <c r="I142" s="10">
        <v>21.533076923076923</v>
      </c>
      <c r="J142" s="8" t="s">
        <v>29</v>
      </c>
      <c r="K142" s="8" t="s">
        <v>476</v>
      </c>
      <c r="L142" s="8" t="s">
        <v>31</v>
      </c>
      <c r="M142" s="8" t="s">
        <v>477</v>
      </c>
      <c r="N142" s="13" t="str">
        <f>HYPERLINK("http://slimages.macys.com/is/image/MCY/12844116 ")</f>
        <v xml:space="preserve">http://slimages.macys.com/is/image/MCY/12844116 </v>
      </c>
    </row>
    <row r="143" spans="1:14" ht="48" x14ac:dyDescent="0.25">
      <c r="A143" s="12" t="s">
        <v>478</v>
      </c>
      <c r="B143" s="8" t="s">
        <v>479</v>
      </c>
      <c r="C143" s="9">
        <v>1</v>
      </c>
      <c r="D143" s="10">
        <v>39.6</v>
      </c>
      <c r="E143" s="10">
        <v>99</v>
      </c>
      <c r="F143" s="9">
        <v>5453636</v>
      </c>
      <c r="G143" s="8" t="s">
        <v>50</v>
      </c>
      <c r="H143" s="12" t="s">
        <v>46</v>
      </c>
      <c r="I143" s="10">
        <v>21.323076923076922</v>
      </c>
      <c r="J143" s="8" t="s">
        <v>73</v>
      </c>
      <c r="K143" s="8" t="s">
        <v>282</v>
      </c>
      <c r="L143" s="8" t="s">
        <v>31</v>
      </c>
      <c r="M143" s="8" t="s">
        <v>283</v>
      </c>
      <c r="N143" s="13" t="str">
        <f>HYPERLINK("http://slimages.macys.com/is/image/MCY/13827073 ")</f>
        <v xml:space="preserve">http://slimages.macys.com/is/image/MCY/13827073 </v>
      </c>
    </row>
    <row r="144" spans="1:14" ht="48" x14ac:dyDescent="0.25">
      <c r="A144" s="12" t="s">
        <v>480</v>
      </c>
      <c r="B144" s="8" t="s">
        <v>481</v>
      </c>
      <c r="C144" s="9">
        <v>1</v>
      </c>
      <c r="D144" s="10">
        <v>39.5</v>
      </c>
      <c r="E144" s="10">
        <v>79</v>
      </c>
      <c r="F144" s="9">
        <v>1052609</v>
      </c>
      <c r="G144" s="8" t="s">
        <v>50</v>
      </c>
      <c r="H144" s="12" t="s">
        <v>334</v>
      </c>
      <c r="I144" s="10">
        <v>21.269230769230766</v>
      </c>
      <c r="J144" s="8" t="s">
        <v>52</v>
      </c>
      <c r="K144" s="8" t="s">
        <v>53</v>
      </c>
      <c r="L144" s="8" t="s">
        <v>31</v>
      </c>
      <c r="M144" s="8" t="s">
        <v>54</v>
      </c>
      <c r="N144" s="13" t="str">
        <f>HYPERLINK("http://slimages.macys.com/is/image/MCY/14464202 ")</f>
        <v xml:space="preserve">http://slimages.macys.com/is/image/MCY/14464202 </v>
      </c>
    </row>
    <row r="145" spans="1:14" ht="48" x14ac:dyDescent="0.25">
      <c r="A145" s="12" t="s">
        <v>482</v>
      </c>
      <c r="B145" s="8" t="s">
        <v>483</v>
      </c>
      <c r="C145" s="9">
        <v>2</v>
      </c>
      <c r="D145" s="10">
        <v>39.14</v>
      </c>
      <c r="E145" s="10">
        <v>64.989999999999995</v>
      </c>
      <c r="F145" s="9" t="s">
        <v>484</v>
      </c>
      <c r="G145" s="8" t="s">
        <v>137</v>
      </c>
      <c r="H145" s="12"/>
      <c r="I145" s="10">
        <v>21.075384615384614</v>
      </c>
      <c r="J145" s="8" t="s">
        <v>29</v>
      </c>
      <c r="K145" s="8" t="s">
        <v>218</v>
      </c>
      <c r="L145" s="8" t="s">
        <v>79</v>
      </c>
      <c r="M145" s="8" t="s">
        <v>485</v>
      </c>
      <c r="N145" s="13" t="str">
        <f>HYPERLINK("http://slimages.macys.com/is/image/MCY/11045856 ")</f>
        <v xml:space="preserve">http://slimages.macys.com/is/image/MCY/11045856 </v>
      </c>
    </row>
    <row r="146" spans="1:14" ht="168" x14ac:dyDescent="0.25">
      <c r="A146" s="12" t="s">
        <v>486</v>
      </c>
      <c r="B146" s="8" t="s">
        <v>487</v>
      </c>
      <c r="C146" s="9">
        <v>1</v>
      </c>
      <c r="D146" s="10">
        <v>38.9</v>
      </c>
      <c r="E146" s="10">
        <v>54.99</v>
      </c>
      <c r="F146" s="9" t="s">
        <v>488</v>
      </c>
      <c r="G146" s="8" t="s">
        <v>475</v>
      </c>
      <c r="H146" s="12" t="s">
        <v>46</v>
      </c>
      <c r="I146" s="10">
        <v>20.946153846153845</v>
      </c>
      <c r="J146" s="8" t="s">
        <v>489</v>
      </c>
      <c r="K146" s="8" t="s">
        <v>490</v>
      </c>
      <c r="L146" s="8" t="s">
        <v>31</v>
      </c>
      <c r="M146" s="8" t="s">
        <v>491</v>
      </c>
      <c r="N146" s="13" t="str">
        <f>HYPERLINK("http://slimages.macys.com/is/image/MCY/8618807 ")</f>
        <v xml:space="preserve">http://slimages.macys.com/is/image/MCY/8618807 </v>
      </c>
    </row>
    <row r="147" spans="1:14" ht="156" x14ac:dyDescent="0.25">
      <c r="A147" s="12" t="s">
        <v>492</v>
      </c>
      <c r="B147" s="8" t="s">
        <v>493</v>
      </c>
      <c r="C147" s="9">
        <v>1</v>
      </c>
      <c r="D147" s="10">
        <v>38</v>
      </c>
      <c r="E147" s="10">
        <v>76</v>
      </c>
      <c r="F147" s="9" t="s">
        <v>494</v>
      </c>
      <c r="G147" s="8" t="s">
        <v>50</v>
      </c>
      <c r="H147" s="12" t="s">
        <v>46</v>
      </c>
      <c r="I147" s="10">
        <v>20.461538461538463</v>
      </c>
      <c r="J147" s="8" t="s">
        <v>495</v>
      </c>
      <c r="K147" s="8" t="s">
        <v>496</v>
      </c>
      <c r="L147" s="8" t="s">
        <v>79</v>
      </c>
      <c r="M147" s="8" t="s">
        <v>497</v>
      </c>
      <c r="N147" s="13" t="str">
        <f>HYPERLINK("http://images.bloomingdales.com/is/image/BLM/9273721 ")</f>
        <v xml:space="preserve">http://images.bloomingdales.com/is/image/BLM/9273721 </v>
      </c>
    </row>
    <row r="148" spans="1:14" ht="48" x14ac:dyDescent="0.25">
      <c r="A148" s="12" t="s">
        <v>498</v>
      </c>
      <c r="B148" s="8" t="s">
        <v>499</v>
      </c>
      <c r="C148" s="9">
        <v>1</v>
      </c>
      <c r="D148" s="10">
        <v>37.75</v>
      </c>
      <c r="E148" s="10">
        <v>64.989999999999995</v>
      </c>
      <c r="F148" s="9" t="s">
        <v>500</v>
      </c>
      <c r="G148" s="8" t="s">
        <v>137</v>
      </c>
      <c r="H148" s="12"/>
      <c r="I148" s="10">
        <v>20.326923076923077</v>
      </c>
      <c r="J148" s="8" t="s">
        <v>138</v>
      </c>
      <c r="K148" s="8" t="s">
        <v>501</v>
      </c>
      <c r="L148" s="8" t="s">
        <v>31</v>
      </c>
      <c r="M148" s="8" t="s">
        <v>233</v>
      </c>
      <c r="N148" s="13" t="str">
        <f>HYPERLINK("http://slimages.macys.com/is/image/MCY/11019883 ")</f>
        <v xml:space="preserve">http://slimages.macys.com/is/image/MCY/11019883 </v>
      </c>
    </row>
    <row r="149" spans="1:14" ht="48" x14ac:dyDescent="0.25">
      <c r="A149" s="12" t="s">
        <v>502</v>
      </c>
      <c r="B149" s="8" t="s">
        <v>503</v>
      </c>
      <c r="C149" s="9">
        <v>1</v>
      </c>
      <c r="D149" s="10">
        <v>37.5</v>
      </c>
      <c r="E149" s="10">
        <v>75</v>
      </c>
      <c r="F149" s="9">
        <v>50127205606</v>
      </c>
      <c r="G149" s="8" t="s">
        <v>137</v>
      </c>
      <c r="H149" s="12"/>
      <c r="I149" s="10">
        <v>20.19230769230769</v>
      </c>
      <c r="J149" s="8" t="s">
        <v>37</v>
      </c>
      <c r="K149" s="8" t="s">
        <v>267</v>
      </c>
      <c r="L149" s="8"/>
      <c r="M149" s="8"/>
      <c r="N149" s="13" t="str">
        <f>HYPERLINK("http://slimages.macys.com/is/image/MCY/1230677 ")</f>
        <v xml:space="preserve">http://slimages.macys.com/is/image/MCY/1230677 </v>
      </c>
    </row>
    <row r="150" spans="1:14" ht="48" x14ac:dyDescent="0.25">
      <c r="A150" s="12" t="s">
        <v>504</v>
      </c>
      <c r="B150" s="8" t="s">
        <v>505</v>
      </c>
      <c r="C150" s="9">
        <v>1</v>
      </c>
      <c r="D150" s="10">
        <v>37.5</v>
      </c>
      <c r="E150" s="10">
        <v>75</v>
      </c>
      <c r="F150" s="9">
        <v>6298714</v>
      </c>
      <c r="G150" s="8" t="s">
        <v>50</v>
      </c>
      <c r="H150" s="12" t="s">
        <v>334</v>
      </c>
      <c r="I150" s="10">
        <v>20.19230769230769</v>
      </c>
      <c r="J150" s="8" t="s">
        <v>73</v>
      </c>
      <c r="K150" s="8" t="s">
        <v>370</v>
      </c>
      <c r="L150" s="8"/>
      <c r="M150" s="8" t="s">
        <v>54</v>
      </c>
      <c r="N150" s="13" t="str">
        <f>HYPERLINK("http://slimages.macys.com/is/image/MCY/1012916 ")</f>
        <v xml:space="preserve">http://slimages.macys.com/is/image/MCY/1012916 </v>
      </c>
    </row>
    <row r="151" spans="1:14" ht="48" x14ac:dyDescent="0.25">
      <c r="A151" s="12" t="s">
        <v>506</v>
      </c>
      <c r="B151" s="8" t="s">
        <v>507</v>
      </c>
      <c r="C151" s="9">
        <v>1</v>
      </c>
      <c r="D151" s="10">
        <v>37.5</v>
      </c>
      <c r="E151" s="10">
        <v>75</v>
      </c>
      <c r="F151" s="9">
        <v>40033743</v>
      </c>
      <c r="G151" s="8" t="s">
        <v>50</v>
      </c>
      <c r="H151" s="12"/>
      <c r="I151" s="10">
        <v>20.19230769230769</v>
      </c>
      <c r="J151" s="8" t="s">
        <v>52</v>
      </c>
      <c r="K151" s="8" t="s">
        <v>53</v>
      </c>
      <c r="L151" s="8" t="s">
        <v>31</v>
      </c>
      <c r="M151" s="8" t="s">
        <v>54</v>
      </c>
      <c r="N151" s="13" t="str">
        <f>HYPERLINK("http://slimages.macys.com/is/image/MCY/11690558 ")</f>
        <v xml:space="preserve">http://slimages.macys.com/is/image/MCY/11690558 </v>
      </c>
    </row>
    <row r="152" spans="1:14" ht="48" x14ac:dyDescent="0.25">
      <c r="A152" s="12" t="s">
        <v>508</v>
      </c>
      <c r="B152" s="8" t="s">
        <v>509</v>
      </c>
      <c r="C152" s="9">
        <v>1</v>
      </c>
      <c r="D152" s="10">
        <v>37.5</v>
      </c>
      <c r="E152" s="10">
        <v>75</v>
      </c>
      <c r="F152" s="9">
        <v>6483163</v>
      </c>
      <c r="G152" s="8" t="s">
        <v>50</v>
      </c>
      <c r="H152" s="12" t="s">
        <v>46</v>
      </c>
      <c r="I152" s="10">
        <v>20.19230769230769</v>
      </c>
      <c r="J152" s="8" t="s">
        <v>73</v>
      </c>
      <c r="K152" s="8" t="s">
        <v>370</v>
      </c>
      <c r="L152" s="8" t="s">
        <v>31</v>
      </c>
      <c r="M152" s="8" t="s">
        <v>54</v>
      </c>
      <c r="N152" s="13" t="str">
        <f>HYPERLINK("http://slimages.macys.com/is/image/MCY/2474675 ")</f>
        <v xml:space="preserve">http://slimages.macys.com/is/image/MCY/2474675 </v>
      </c>
    </row>
    <row r="153" spans="1:14" ht="48" x14ac:dyDescent="0.25">
      <c r="A153" s="12" t="s">
        <v>510</v>
      </c>
      <c r="B153" s="8" t="s">
        <v>511</v>
      </c>
      <c r="C153" s="9">
        <v>1</v>
      </c>
      <c r="D153" s="10">
        <v>35.35</v>
      </c>
      <c r="E153" s="10">
        <v>59.99</v>
      </c>
      <c r="F153" s="9">
        <v>34523877</v>
      </c>
      <c r="G153" s="8" t="s">
        <v>50</v>
      </c>
      <c r="H153" s="12" t="s">
        <v>85</v>
      </c>
      <c r="I153" s="10">
        <v>19.034615384615385</v>
      </c>
      <c r="J153" s="8" t="s">
        <v>254</v>
      </c>
      <c r="K153" s="8" t="s">
        <v>512</v>
      </c>
      <c r="L153" s="8"/>
      <c r="M153" s="8" t="s">
        <v>182</v>
      </c>
      <c r="N153" s="13" t="str">
        <f>HYPERLINK("http://slimages.macys.com/is/image/MCY/449706 ")</f>
        <v xml:space="preserve">http://slimages.macys.com/is/image/MCY/449706 </v>
      </c>
    </row>
    <row r="154" spans="1:14" ht="96" x14ac:dyDescent="0.25">
      <c r="A154" s="12" t="s">
        <v>513</v>
      </c>
      <c r="B154" s="8" t="s">
        <v>514</v>
      </c>
      <c r="C154" s="9">
        <v>1</v>
      </c>
      <c r="D154" s="10">
        <v>35.06</v>
      </c>
      <c r="E154" s="10">
        <v>88</v>
      </c>
      <c r="F154" s="9" t="s">
        <v>515</v>
      </c>
      <c r="G154" s="8" t="s">
        <v>153</v>
      </c>
      <c r="H154" s="12" t="s">
        <v>46</v>
      </c>
      <c r="I154" s="10">
        <v>18.87846153846154</v>
      </c>
      <c r="J154" s="8" t="s">
        <v>29</v>
      </c>
      <c r="K154" s="8" t="s">
        <v>516</v>
      </c>
      <c r="L154" s="8" t="s">
        <v>79</v>
      </c>
      <c r="M154" s="8" t="s">
        <v>517</v>
      </c>
      <c r="N154" s="13" t="str">
        <f>HYPERLINK("http://slimages.macys.com/is/image/MCY/10914072 ")</f>
        <v xml:space="preserve">http://slimages.macys.com/is/image/MCY/10914072 </v>
      </c>
    </row>
    <row r="155" spans="1:14" ht="60" x14ac:dyDescent="0.25">
      <c r="A155" s="12" t="s">
        <v>518</v>
      </c>
      <c r="B155" s="8" t="s">
        <v>519</v>
      </c>
      <c r="C155" s="9">
        <v>1</v>
      </c>
      <c r="D155" s="10">
        <v>35</v>
      </c>
      <c r="E155" s="10">
        <v>70</v>
      </c>
      <c r="F155" s="9">
        <v>5506</v>
      </c>
      <c r="G155" s="8" t="s">
        <v>35</v>
      </c>
      <c r="H155" s="12"/>
      <c r="I155" s="10">
        <v>18.846153846153847</v>
      </c>
      <c r="J155" s="8" t="s">
        <v>73</v>
      </c>
      <c r="K155" s="8" t="s">
        <v>78</v>
      </c>
      <c r="L155" s="8" t="s">
        <v>79</v>
      </c>
      <c r="M155" s="8" t="s">
        <v>520</v>
      </c>
      <c r="N155" s="13" t="str">
        <f>HYPERLINK("http://images.bloomingdales.com/is/image/BLM/8515144 ")</f>
        <v xml:space="preserve">http://images.bloomingdales.com/is/image/BLM/8515144 </v>
      </c>
    </row>
    <row r="156" spans="1:14" ht="48" x14ac:dyDescent="0.25">
      <c r="A156" s="12" t="s">
        <v>521</v>
      </c>
      <c r="B156" s="8" t="s">
        <v>522</v>
      </c>
      <c r="C156" s="9">
        <v>1</v>
      </c>
      <c r="D156" s="10">
        <v>35</v>
      </c>
      <c r="E156" s="10">
        <v>69.989999999999995</v>
      </c>
      <c r="F156" s="9" t="s">
        <v>523</v>
      </c>
      <c r="G156" s="8" t="s">
        <v>475</v>
      </c>
      <c r="H156" s="12" t="s">
        <v>85</v>
      </c>
      <c r="I156" s="10">
        <v>18.846153846153847</v>
      </c>
      <c r="J156" s="8" t="s">
        <v>254</v>
      </c>
      <c r="K156" s="8" t="s">
        <v>68</v>
      </c>
      <c r="L156" s="8" t="s">
        <v>31</v>
      </c>
      <c r="M156" s="8" t="s">
        <v>69</v>
      </c>
      <c r="N156" s="13" t="str">
        <f>HYPERLINK("http://slimages.macys.com/is/image/MCY/9069466 ")</f>
        <v xml:space="preserve">http://slimages.macys.com/is/image/MCY/9069466 </v>
      </c>
    </row>
    <row r="157" spans="1:14" ht="48" x14ac:dyDescent="0.25">
      <c r="A157" s="12" t="s">
        <v>524</v>
      </c>
      <c r="B157" s="8" t="s">
        <v>525</v>
      </c>
      <c r="C157" s="9">
        <v>2</v>
      </c>
      <c r="D157" s="10">
        <v>35</v>
      </c>
      <c r="E157" s="10">
        <v>70</v>
      </c>
      <c r="F157" s="9" t="s">
        <v>526</v>
      </c>
      <c r="G157" s="8" t="s">
        <v>137</v>
      </c>
      <c r="H157" s="12" t="s">
        <v>266</v>
      </c>
      <c r="I157" s="10">
        <v>18.846153846153847</v>
      </c>
      <c r="J157" s="8" t="s">
        <v>138</v>
      </c>
      <c r="K157" s="8" t="s">
        <v>345</v>
      </c>
      <c r="L157" s="8"/>
      <c r="M157" s="8" t="s">
        <v>460</v>
      </c>
      <c r="N157" s="13" t="str">
        <f>HYPERLINK("http://slimages.macys.com/is/image/MCY/1034400 ")</f>
        <v xml:space="preserve">http://slimages.macys.com/is/image/MCY/1034400 </v>
      </c>
    </row>
    <row r="158" spans="1:14" ht="48" x14ac:dyDescent="0.25">
      <c r="A158" s="12" t="s">
        <v>527</v>
      </c>
      <c r="B158" s="8" t="s">
        <v>528</v>
      </c>
      <c r="C158" s="9">
        <v>2</v>
      </c>
      <c r="D158" s="10">
        <v>35</v>
      </c>
      <c r="E158" s="10">
        <v>60</v>
      </c>
      <c r="F158" s="9" t="s">
        <v>529</v>
      </c>
      <c r="G158" s="8" t="s">
        <v>45</v>
      </c>
      <c r="H158" s="12" t="s">
        <v>181</v>
      </c>
      <c r="I158" s="10">
        <v>18.846153846153847</v>
      </c>
      <c r="J158" s="8" t="s">
        <v>37</v>
      </c>
      <c r="K158" s="8" t="s">
        <v>68</v>
      </c>
      <c r="L158" s="8" t="s">
        <v>31</v>
      </c>
      <c r="M158" s="8" t="s">
        <v>530</v>
      </c>
      <c r="N158" s="13" t="str">
        <f>HYPERLINK("http://slimages.macys.com/is/image/MCY/15143028 ")</f>
        <v xml:space="preserve">http://slimages.macys.com/is/image/MCY/15143028 </v>
      </c>
    </row>
    <row r="159" spans="1:14" ht="48" x14ac:dyDescent="0.25">
      <c r="A159" s="12" t="s">
        <v>524</v>
      </c>
      <c r="B159" s="8" t="s">
        <v>525</v>
      </c>
      <c r="C159" s="9">
        <v>2</v>
      </c>
      <c r="D159" s="10">
        <v>35</v>
      </c>
      <c r="E159" s="10">
        <v>70</v>
      </c>
      <c r="F159" s="9" t="s">
        <v>526</v>
      </c>
      <c r="G159" s="8" t="s">
        <v>137</v>
      </c>
      <c r="H159" s="12" t="s">
        <v>266</v>
      </c>
      <c r="I159" s="10">
        <v>18.846153846153847</v>
      </c>
      <c r="J159" s="8" t="s">
        <v>138</v>
      </c>
      <c r="K159" s="8" t="s">
        <v>345</v>
      </c>
      <c r="L159" s="8"/>
      <c r="M159" s="8" t="s">
        <v>460</v>
      </c>
      <c r="N159" s="13" t="str">
        <f>HYPERLINK("http://slimages.macys.com/is/image/MCY/1034400 ")</f>
        <v xml:space="preserve">http://slimages.macys.com/is/image/MCY/1034400 </v>
      </c>
    </row>
    <row r="160" spans="1:14" ht="48" x14ac:dyDescent="0.25">
      <c r="A160" s="12" t="s">
        <v>531</v>
      </c>
      <c r="B160" s="8" t="s">
        <v>532</v>
      </c>
      <c r="C160" s="9">
        <v>1</v>
      </c>
      <c r="D160" s="10">
        <v>35</v>
      </c>
      <c r="E160" s="10">
        <v>69.989999999999995</v>
      </c>
      <c r="F160" s="9">
        <v>73157801</v>
      </c>
      <c r="G160" s="8" t="s">
        <v>50</v>
      </c>
      <c r="H160" s="12" t="s">
        <v>359</v>
      </c>
      <c r="I160" s="10">
        <v>18.846153846153847</v>
      </c>
      <c r="J160" s="8" t="s">
        <v>262</v>
      </c>
      <c r="K160" s="8" t="s">
        <v>512</v>
      </c>
      <c r="L160" s="8" t="s">
        <v>438</v>
      </c>
      <c r="M160" s="8" t="s">
        <v>533</v>
      </c>
      <c r="N160" s="13" t="str">
        <f>HYPERLINK("http://slimages.macys.com/is/image/MCY/11153857 ")</f>
        <v xml:space="preserve">http://slimages.macys.com/is/image/MCY/11153857 </v>
      </c>
    </row>
    <row r="161" spans="1:14" ht="48" x14ac:dyDescent="0.25">
      <c r="A161" s="12" t="s">
        <v>534</v>
      </c>
      <c r="B161" s="8" t="s">
        <v>535</v>
      </c>
      <c r="C161" s="9">
        <v>1</v>
      </c>
      <c r="D161" s="10">
        <v>35</v>
      </c>
      <c r="E161" s="10">
        <v>70</v>
      </c>
      <c r="F161" s="9" t="s">
        <v>536</v>
      </c>
      <c r="G161" s="8" t="s">
        <v>50</v>
      </c>
      <c r="H161" s="12"/>
      <c r="I161" s="10">
        <v>18.846153846153847</v>
      </c>
      <c r="J161" s="8" t="s">
        <v>73</v>
      </c>
      <c r="K161" s="8" t="s">
        <v>196</v>
      </c>
      <c r="L161" s="8" t="s">
        <v>31</v>
      </c>
      <c r="M161" s="8" t="s">
        <v>80</v>
      </c>
      <c r="N161" s="13" t="str">
        <f>HYPERLINK("http://slimages.macys.com/is/image/MCY/3732725 ")</f>
        <v xml:space="preserve">http://slimages.macys.com/is/image/MCY/3732725 </v>
      </c>
    </row>
    <row r="162" spans="1:14" ht="60" x14ac:dyDescent="0.25">
      <c r="A162" s="12" t="s">
        <v>537</v>
      </c>
      <c r="B162" s="8" t="s">
        <v>538</v>
      </c>
      <c r="C162" s="9">
        <v>1</v>
      </c>
      <c r="D162" s="10">
        <v>35</v>
      </c>
      <c r="E162" s="10">
        <v>70</v>
      </c>
      <c r="F162" s="9">
        <v>1059685</v>
      </c>
      <c r="G162" s="8" t="s">
        <v>50</v>
      </c>
      <c r="H162" s="12"/>
      <c r="I162" s="10">
        <v>18.846153846153847</v>
      </c>
      <c r="J162" s="8" t="s">
        <v>52</v>
      </c>
      <c r="K162" s="8" t="s">
        <v>53</v>
      </c>
      <c r="L162" s="8" t="s">
        <v>163</v>
      </c>
      <c r="M162" s="8" t="s">
        <v>54</v>
      </c>
      <c r="N162" s="13" t="str">
        <f>HYPERLINK("http://images.bloomingdales.com/is/image/BLM/11574489 ")</f>
        <v xml:space="preserve">http://images.bloomingdales.com/is/image/BLM/11574489 </v>
      </c>
    </row>
    <row r="163" spans="1:14" ht="60" x14ac:dyDescent="0.25">
      <c r="A163" s="12" t="s">
        <v>539</v>
      </c>
      <c r="B163" s="8" t="s">
        <v>540</v>
      </c>
      <c r="C163" s="9">
        <v>2</v>
      </c>
      <c r="D163" s="10">
        <v>35</v>
      </c>
      <c r="E163" s="10">
        <v>70</v>
      </c>
      <c r="F163" s="9">
        <v>1059684</v>
      </c>
      <c r="G163" s="8" t="s">
        <v>50</v>
      </c>
      <c r="H163" s="12"/>
      <c r="I163" s="10">
        <v>18.846153846153847</v>
      </c>
      <c r="J163" s="8" t="s">
        <v>52</v>
      </c>
      <c r="K163" s="8" t="s">
        <v>53</v>
      </c>
      <c r="L163" s="8" t="s">
        <v>163</v>
      </c>
      <c r="M163" s="8" t="s">
        <v>54</v>
      </c>
      <c r="N163" s="13" t="str">
        <f>HYPERLINK("http://images.bloomingdales.com/is/image/BLM/11574510 ")</f>
        <v xml:space="preserve">http://images.bloomingdales.com/is/image/BLM/11574510 </v>
      </c>
    </row>
    <row r="164" spans="1:14" ht="48" x14ac:dyDescent="0.25">
      <c r="A164" s="12" t="s">
        <v>541</v>
      </c>
      <c r="B164" s="8" t="s">
        <v>542</v>
      </c>
      <c r="C164" s="9">
        <v>1</v>
      </c>
      <c r="D164" s="10">
        <v>35</v>
      </c>
      <c r="E164" s="10">
        <v>59.99</v>
      </c>
      <c r="F164" s="9" t="s">
        <v>543</v>
      </c>
      <c r="G164" s="8" t="s">
        <v>50</v>
      </c>
      <c r="H164" s="12" t="s">
        <v>334</v>
      </c>
      <c r="I164" s="10">
        <v>18.846153846153847</v>
      </c>
      <c r="J164" s="8" t="s">
        <v>313</v>
      </c>
      <c r="K164" s="8" t="s">
        <v>544</v>
      </c>
      <c r="L164" s="8"/>
      <c r="M164" s="8" t="s">
        <v>54</v>
      </c>
      <c r="N164" s="13" t="str">
        <f>HYPERLINK("http://slimages.macys.com/is/image/MCY/1310646 ")</f>
        <v xml:space="preserve">http://slimages.macys.com/is/image/MCY/1310646 </v>
      </c>
    </row>
    <row r="165" spans="1:14" ht="48" x14ac:dyDescent="0.25">
      <c r="A165" s="12" t="s">
        <v>541</v>
      </c>
      <c r="B165" s="8" t="s">
        <v>542</v>
      </c>
      <c r="C165" s="9">
        <v>1</v>
      </c>
      <c r="D165" s="10">
        <v>35</v>
      </c>
      <c r="E165" s="10">
        <v>59.99</v>
      </c>
      <c r="F165" s="9" t="s">
        <v>543</v>
      </c>
      <c r="G165" s="8" t="s">
        <v>50</v>
      </c>
      <c r="H165" s="12" t="s">
        <v>334</v>
      </c>
      <c r="I165" s="10">
        <v>18.846153846153847</v>
      </c>
      <c r="J165" s="8" t="s">
        <v>313</v>
      </c>
      <c r="K165" s="8" t="s">
        <v>544</v>
      </c>
      <c r="L165" s="8"/>
      <c r="M165" s="8" t="s">
        <v>54</v>
      </c>
      <c r="N165" s="13" t="str">
        <f>HYPERLINK("http://slimages.macys.com/is/image/MCY/1310646 ")</f>
        <v xml:space="preserve">http://slimages.macys.com/is/image/MCY/1310646 </v>
      </c>
    </row>
    <row r="166" spans="1:14" ht="48" x14ac:dyDescent="0.25">
      <c r="A166" s="12" t="s">
        <v>545</v>
      </c>
      <c r="B166" s="8" t="s">
        <v>546</v>
      </c>
      <c r="C166" s="9">
        <v>1</v>
      </c>
      <c r="D166" s="10">
        <v>35</v>
      </c>
      <c r="E166" s="10">
        <v>70</v>
      </c>
      <c r="F166" s="9">
        <v>5700280081</v>
      </c>
      <c r="G166" s="8" t="s">
        <v>50</v>
      </c>
      <c r="H166" s="12" t="s">
        <v>266</v>
      </c>
      <c r="I166" s="10">
        <v>18.846153846153847</v>
      </c>
      <c r="J166" s="8" t="s">
        <v>138</v>
      </c>
      <c r="K166" s="8" t="s">
        <v>267</v>
      </c>
      <c r="L166" s="8" t="s">
        <v>31</v>
      </c>
      <c r="M166" s="8" t="s">
        <v>460</v>
      </c>
      <c r="N166" s="13" t="str">
        <f>HYPERLINK("http://slimages.macys.com/is/image/MCY/8296552 ")</f>
        <v xml:space="preserve">http://slimages.macys.com/is/image/MCY/8296552 </v>
      </c>
    </row>
    <row r="167" spans="1:14" ht="72" x14ac:dyDescent="0.25">
      <c r="A167" s="12" t="s">
        <v>547</v>
      </c>
      <c r="B167" s="8" t="s">
        <v>548</v>
      </c>
      <c r="C167" s="9">
        <v>1</v>
      </c>
      <c r="D167" s="10">
        <v>34.25</v>
      </c>
      <c r="E167" s="10">
        <v>75</v>
      </c>
      <c r="F167" s="9">
        <v>175136</v>
      </c>
      <c r="G167" s="8" t="s">
        <v>45</v>
      </c>
      <c r="H167" s="12"/>
      <c r="I167" s="10">
        <v>18.442307692307693</v>
      </c>
      <c r="J167" s="8" t="s">
        <v>73</v>
      </c>
      <c r="K167" s="8" t="s">
        <v>74</v>
      </c>
      <c r="L167" s="8" t="s">
        <v>31</v>
      </c>
      <c r="M167" s="8" t="s">
        <v>549</v>
      </c>
      <c r="N167" s="13" t="str">
        <f>HYPERLINK("http://slimages.macys.com/is/image/MCY/2368771 ")</f>
        <v xml:space="preserve">http://slimages.macys.com/is/image/MCY/2368771 </v>
      </c>
    </row>
    <row r="168" spans="1:14" ht="60" x14ac:dyDescent="0.25">
      <c r="A168" s="12" t="s">
        <v>550</v>
      </c>
      <c r="B168" s="8" t="s">
        <v>551</v>
      </c>
      <c r="C168" s="9">
        <v>1</v>
      </c>
      <c r="D168" s="10">
        <v>33.94</v>
      </c>
      <c r="E168" s="10">
        <v>67.989999999999995</v>
      </c>
      <c r="F168" s="9" t="s">
        <v>552</v>
      </c>
      <c r="G168" s="8" t="s">
        <v>153</v>
      </c>
      <c r="H168" s="12" t="s">
        <v>46</v>
      </c>
      <c r="I168" s="10">
        <v>18.275384615384613</v>
      </c>
      <c r="J168" s="8" t="s">
        <v>29</v>
      </c>
      <c r="K168" s="8" t="s">
        <v>553</v>
      </c>
      <c r="L168" s="8" t="s">
        <v>79</v>
      </c>
      <c r="M168" s="8" t="s">
        <v>554</v>
      </c>
      <c r="N168" s="13" t="str">
        <f>HYPERLINK("http://slimages.macys.com/is/image/MCY/12115554 ")</f>
        <v xml:space="preserve">http://slimages.macys.com/is/image/MCY/12115554 </v>
      </c>
    </row>
    <row r="169" spans="1:14" ht="48" x14ac:dyDescent="0.25">
      <c r="A169" s="12" t="s">
        <v>555</v>
      </c>
      <c r="B169" s="8" t="s">
        <v>556</v>
      </c>
      <c r="C169" s="9">
        <v>1</v>
      </c>
      <c r="D169" s="10">
        <v>33</v>
      </c>
      <c r="E169" s="10">
        <v>68.989999999999995</v>
      </c>
      <c r="F169" s="9" t="s">
        <v>557</v>
      </c>
      <c r="G169" s="8" t="s">
        <v>137</v>
      </c>
      <c r="H169" s="12" t="s">
        <v>266</v>
      </c>
      <c r="I169" s="10">
        <v>17.76923076923077</v>
      </c>
      <c r="J169" s="8" t="s">
        <v>138</v>
      </c>
      <c r="K169" s="8" t="s">
        <v>237</v>
      </c>
      <c r="L169" s="8" t="s">
        <v>31</v>
      </c>
      <c r="M169" s="8" t="s">
        <v>460</v>
      </c>
      <c r="N169" s="13" t="str">
        <f>HYPERLINK("http://slimages.macys.com/is/image/MCY/8268557 ")</f>
        <v xml:space="preserve">http://slimages.macys.com/is/image/MCY/8268557 </v>
      </c>
    </row>
    <row r="170" spans="1:14" ht="48" x14ac:dyDescent="0.25">
      <c r="A170" s="12" t="s">
        <v>558</v>
      </c>
      <c r="B170" s="8" t="s">
        <v>559</v>
      </c>
      <c r="C170" s="9">
        <v>1</v>
      </c>
      <c r="D170" s="10">
        <v>32.85</v>
      </c>
      <c r="E170" s="10">
        <v>99.99</v>
      </c>
      <c r="F170" s="9" t="s">
        <v>560</v>
      </c>
      <c r="G170" s="8" t="s">
        <v>67</v>
      </c>
      <c r="H170" s="12"/>
      <c r="I170" s="10">
        <v>17.688461538461539</v>
      </c>
      <c r="J170" s="8" t="s">
        <v>561</v>
      </c>
      <c r="K170" s="8" t="s">
        <v>242</v>
      </c>
      <c r="L170" s="8" t="s">
        <v>31</v>
      </c>
      <c r="M170" s="8" t="s">
        <v>562</v>
      </c>
      <c r="N170" s="13" t="str">
        <f>HYPERLINK("http://slimages.macys.com/is/image/MCY/11395389 ")</f>
        <v xml:space="preserve">http://slimages.macys.com/is/image/MCY/11395389 </v>
      </c>
    </row>
    <row r="171" spans="1:14" ht="48" x14ac:dyDescent="0.25">
      <c r="A171" s="12" t="s">
        <v>563</v>
      </c>
      <c r="B171" s="8" t="s">
        <v>564</v>
      </c>
      <c r="C171" s="9">
        <v>6</v>
      </c>
      <c r="D171" s="10">
        <v>32.5</v>
      </c>
      <c r="E171" s="10">
        <v>60</v>
      </c>
      <c r="F171" s="9">
        <v>7565</v>
      </c>
      <c r="G171" s="8" t="s">
        <v>137</v>
      </c>
      <c r="H171" s="12"/>
      <c r="I171" s="10">
        <v>17.5</v>
      </c>
      <c r="J171" s="8" t="s">
        <v>73</v>
      </c>
      <c r="K171" s="8" t="s">
        <v>196</v>
      </c>
      <c r="L171" s="8" t="s">
        <v>31</v>
      </c>
      <c r="M171" s="8"/>
      <c r="N171" s="13" t="str">
        <f>HYPERLINK("http://slimages.macys.com/is/image/MCY/2239573 ")</f>
        <v xml:space="preserve">http://slimages.macys.com/is/image/MCY/2239573 </v>
      </c>
    </row>
    <row r="172" spans="1:14" ht="48" x14ac:dyDescent="0.25">
      <c r="A172" s="12" t="s">
        <v>565</v>
      </c>
      <c r="B172" s="8" t="s">
        <v>566</v>
      </c>
      <c r="C172" s="9">
        <v>1</v>
      </c>
      <c r="D172" s="10">
        <v>32.090000000000003</v>
      </c>
      <c r="E172" s="10">
        <v>51.99</v>
      </c>
      <c r="F172" s="9" t="s">
        <v>567</v>
      </c>
      <c r="G172" s="8" t="s">
        <v>393</v>
      </c>
      <c r="H172" s="12"/>
      <c r="I172" s="10">
        <v>17.279230769230768</v>
      </c>
      <c r="J172" s="8" t="s">
        <v>209</v>
      </c>
      <c r="K172" s="8" t="s">
        <v>210</v>
      </c>
      <c r="L172" s="8" t="s">
        <v>79</v>
      </c>
      <c r="M172" s="8" t="s">
        <v>568</v>
      </c>
      <c r="N172" s="13" t="str">
        <f>HYPERLINK("http://slimages.macys.com/is/image/MCY/2754316 ")</f>
        <v xml:space="preserve">http://slimages.macys.com/is/image/MCY/2754316 </v>
      </c>
    </row>
    <row r="173" spans="1:14" ht="60" x14ac:dyDescent="0.25">
      <c r="A173" s="12" t="s">
        <v>569</v>
      </c>
      <c r="B173" s="8" t="s">
        <v>570</v>
      </c>
      <c r="C173" s="9">
        <v>2</v>
      </c>
      <c r="D173" s="10">
        <v>32</v>
      </c>
      <c r="E173" s="10">
        <v>80</v>
      </c>
      <c r="F173" s="9">
        <v>5557796</v>
      </c>
      <c r="G173" s="8" t="s">
        <v>50</v>
      </c>
      <c r="H173" s="12" t="s">
        <v>46</v>
      </c>
      <c r="I173" s="10">
        <v>17.23076923076923</v>
      </c>
      <c r="J173" s="8" t="s">
        <v>73</v>
      </c>
      <c r="K173" s="8" t="s">
        <v>282</v>
      </c>
      <c r="L173" s="8" t="s">
        <v>388</v>
      </c>
      <c r="M173" s="8" t="s">
        <v>571</v>
      </c>
      <c r="N173" s="13" t="str">
        <f>HYPERLINK("http://images.bloomingdales.com/is/image/BLM/11346944 ")</f>
        <v xml:space="preserve">http://images.bloomingdales.com/is/image/BLM/11346944 </v>
      </c>
    </row>
    <row r="174" spans="1:14" ht="72" x14ac:dyDescent="0.25">
      <c r="A174" s="12" t="s">
        <v>572</v>
      </c>
      <c r="B174" s="8" t="s">
        <v>573</v>
      </c>
      <c r="C174" s="9">
        <v>1</v>
      </c>
      <c r="D174" s="10">
        <v>32</v>
      </c>
      <c r="E174" s="10">
        <v>65</v>
      </c>
      <c r="F174" s="9">
        <v>132370</v>
      </c>
      <c r="G174" s="8" t="s">
        <v>50</v>
      </c>
      <c r="H174" s="12" t="s">
        <v>46</v>
      </c>
      <c r="I174" s="10">
        <v>17.23076923076923</v>
      </c>
      <c r="J174" s="8" t="s">
        <v>73</v>
      </c>
      <c r="K174" s="8" t="s">
        <v>74</v>
      </c>
      <c r="L174" s="8" t="s">
        <v>31</v>
      </c>
      <c r="M174" s="8" t="s">
        <v>574</v>
      </c>
      <c r="N174" s="13" t="str">
        <f>HYPERLINK("http://slimages.macys.com/is/image/MCY/1335908 ")</f>
        <v xml:space="preserve">http://slimages.macys.com/is/image/MCY/1335908 </v>
      </c>
    </row>
    <row r="175" spans="1:14" ht="60" x14ac:dyDescent="0.25">
      <c r="A175" s="12" t="s">
        <v>569</v>
      </c>
      <c r="B175" s="8" t="s">
        <v>570</v>
      </c>
      <c r="C175" s="9">
        <v>4</v>
      </c>
      <c r="D175" s="10">
        <v>32</v>
      </c>
      <c r="E175" s="10">
        <v>80</v>
      </c>
      <c r="F175" s="9">
        <v>5557796</v>
      </c>
      <c r="G175" s="8" t="s">
        <v>50</v>
      </c>
      <c r="H175" s="12" t="s">
        <v>46</v>
      </c>
      <c r="I175" s="10">
        <v>17.23076923076923</v>
      </c>
      <c r="J175" s="8" t="s">
        <v>73</v>
      </c>
      <c r="K175" s="8" t="s">
        <v>282</v>
      </c>
      <c r="L175" s="8" t="s">
        <v>388</v>
      </c>
      <c r="M175" s="8" t="s">
        <v>571</v>
      </c>
      <c r="N175" s="13" t="str">
        <f>HYPERLINK("http://images.bloomingdales.com/is/image/BLM/11346944 ")</f>
        <v xml:space="preserve">http://images.bloomingdales.com/is/image/BLM/11346944 </v>
      </c>
    </row>
    <row r="176" spans="1:14" ht="60" x14ac:dyDescent="0.25">
      <c r="A176" s="12" t="s">
        <v>569</v>
      </c>
      <c r="B176" s="8" t="s">
        <v>575</v>
      </c>
      <c r="C176" s="9">
        <v>1</v>
      </c>
      <c r="D176" s="10">
        <v>32</v>
      </c>
      <c r="E176" s="10">
        <v>80</v>
      </c>
      <c r="F176" s="9">
        <v>5557796</v>
      </c>
      <c r="G176" s="8" t="s">
        <v>50</v>
      </c>
      <c r="H176" s="12" t="s">
        <v>46</v>
      </c>
      <c r="I176" s="10">
        <v>17.23076923076923</v>
      </c>
      <c r="J176" s="8" t="s">
        <v>73</v>
      </c>
      <c r="K176" s="8" t="s">
        <v>282</v>
      </c>
      <c r="L176" s="8" t="s">
        <v>388</v>
      </c>
      <c r="M176" s="8" t="s">
        <v>571</v>
      </c>
      <c r="N176" s="13" t="str">
        <f>HYPERLINK("http://images.bloomingdales.com/is/image/BLM/11346944 ")</f>
        <v xml:space="preserve">http://images.bloomingdales.com/is/image/BLM/11346944 </v>
      </c>
    </row>
    <row r="177" spans="1:14" ht="48" x14ac:dyDescent="0.25">
      <c r="A177" s="12" t="s">
        <v>576</v>
      </c>
      <c r="B177" s="8" t="s">
        <v>577</v>
      </c>
      <c r="C177" s="9">
        <v>4</v>
      </c>
      <c r="D177" s="10">
        <v>31.75</v>
      </c>
      <c r="E177" s="10">
        <v>63.99</v>
      </c>
      <c r="F177" s="9" t="s">
        <v>578</v>
      </c>
      <c r="G177" s="8" t="s">
        <v>50</v>
      </c>
      <c r="H177" s="12" t="s">
        <v>327</v>
      </c>
      <c r="I177" s="10">
        <v>17.096153846153847</v>
      </c>
      <c r="J177" s="8" t="s">
        <v>262</v>
      </c>
      <c r="K177" s="8" t="s">
        <v>579</v>
      </c>
      <c r="L177" s="8" t="s">
        <v>31</v>
      </c>
      <c r="M177" s="8" t="s">
        <v>80</v>
      </c>
      <c r="N177" s="13" t="str">
        <f>HYPERLINK("http://slimages.macys.com/is/image/MCY/8129883 ")</f>
        <v xml:space="preserve">http://slimages.macys.com/is/image/MCY/8129883 </v>
      </c>
    </row>
    <row r="178" spans="1:14" ht="48" x14ac:dyDescent="0.25">
      <c r="A178" s="12" t="s">
        <v>580</v>
      </c>
      <c r="B178" s="8" t="s">
        <v>581</v>
      </c>
      <c r="C178" s="9">
        <v>1</v>
      </c>
      <c r="D178" s="10">
        <v>31.6</v>
      </c>
      <c r="E178" s="10">
        <v>79</v>
      </c>
      <c r="F178" s="9">
        <v>5427990</v>
      </c>
      <c r="G178" s="8" t="s">
        <v>50</v>
      </c>
      <c r="H178" s="12" t="s">
        <v>46</v>
      </c>
      <c r="I178" s="10">
        <v>17.015384615384615</v>
      </c>
      <c r="J178" s="8" t="s">
        <v>73</v>
      </c>
      <c r="K178" s="8" t="s">
        <v>282</v>
      </c>
      <c r="L178" s="8" t="s">
        <v>31</v>
      </c>
      <c r="M178" s="8" t="s">
        <v>283</v>
      </c>
      <c r="N178" s="13" t="str">
        <f>HYPERLINK("http://slimages.macys.com/is/image/MCY/15300621 ")</f>
        <v xml:space="preserve">http://slimages.macys.com/is/image/MCY/15300621 </v>
      </c>
    </row>
    <row r="179" spans="1:14" ht="48" x14ac:dyDescent="0.25">
      <c r="A179" s="12" t="s">
        <v>582</v>
      </c>
      <c r="B179" s="8" t="s">
        <v>583</v>
      </c>
      <c r="C179" s="9">
        <v>1</v>
      </c>
      <c r="D179" s="10">
        <v>31.5</v>
      </c>
      <c r="E179" s="10">
        <v>64.989999999999995</v>
      </c>
      <c r="F179" s="9">
        <v>24620</v>
      </c>
      <c r="G179" s="8" t="s">
        <v>137</v>
      </c>
      <c r="H179" s="12" t="s">
        <v>46</v>
      </c>
      <c r="I179" s="10">
        <v>16.96153846153846</v>
      </c>
      <c r="J179" s="8" t="s">
        <v>29</v>
      </c>
      <c r="K179" s="8" t="s">
        <v>584</v>
      </c>
      <c r="L179" s="8"/>
      <c r="M179" s="8"/>
      <c r="N179" s="13" t="str">
        <f>HYPERLINK("http://slimages.macys.com/is/image/MCY/19504298 ")</f>
        <v xml:space="preserve">http://slimages.macys.com/is/image/MCY/19504298 </v>
      </c>
    </row>
    <row r="180" spans="1:14" ht="48" x14ac:dyDescent="0.25">
      <c r="A180" s="12" t="s">
        <v>585</v>
      </c>
      <c r="B180" s="8" t="s">
        <v>586</v>
      </c>
      <c r="C180" s="9">
        <v>1</v>
      </c>
      <c r="D180" s="10">
        <v>31.5</v>
      </c>
      <c r="E180" s="10">
        <v>63</v>
      </c>
      <c r="F180" s="9">
        <v>122727</v>
      </c>
      <c r="G180" s="8" t="s">
        <v>50</v>
      </c>
      <c r="H180" s="12" t="s">
        <v>46</v>
      </c>
      <c r="I180" s="10">
        <v>16.96153846153846</v>
      </c>
      <c r="J180" s="8" t="s">
        <v>73</v>
      </c>
      <c r="K180" s="8" t="s">
        <v>74</v>
      </c>
      <c r="L180" s="8"/>
      <c r="M180" s="8" t="s">
        <v>587</v>
      </c>
      <c r="N180" s="13" t="str">
        <f>HYPERLINK("http://slimages.macys.com/is/image/MCY/1287786 ")</f>
        <v xml:space="preserve">http://slimages.macys.com/is/image/MCY/1287786 </v>
      </c>
    </row>
    <row r="181" spans="1:14" ht="60" x14ac:dyDescent="0.25">
      <c r="A181" s="12" t="s">
        <v>588</v>
      </c>
      <c r="B181" s="8" t="s">
        <v>589</v>
      </c>
      <c r="C181" s="9">
        <v>1</v>
      </c>
      <c r="D181" s="10">
        <v>30.78</v>
      </c>
      <c r="E181" s="10">
        <v>64.989999999999995</v>
      </c>
      <c r="F181" s="9">
        <v>11391742</v>
      </c>
      <c r="G181" s="8" t="s">
        <v>35</v>
      </c>
      <c r="H181" s="12" t="s">
        <v>174</v>
      </c>
      <c r="I181" s="10">
        <v>16.573846153846151</v>
      </c>
      <c r="J181" s="8" t="s">
        <v>254</v>
      </c>
      <c r="K181" s="8" t="s">
        <v>590</v>
      </c>
      <c r="L181" s="8" t="s">
        <v>31</v>
      </c>
      <c r="M181" s="8" t="s">
        <v>591</v>
      </c>
      <c r="N181" s="13" t="str">
        <f>HYPERLINK("http://slimages.macys.com/is/image/MCY/12245967 ")</f>
        <v xml:space="preserve">http://slimages.macys.com/is/image/MCY/12245967 </v>
      </c>
    </row>
    <row r="182" spans="1:14" ht="60" x14ac:dyDescent="0.25">
      <c r="A182" s="12" t="s">
        <v>592</v>
      </c>
      <c r="B182" s="8" t="s">
        <v>593</v>
      </c>
      <c r="C182" s="9">
        <v>1</v>
      </c>
      <c r="D182" s="10">
        <v>30.75</v>
      </c>
      <c r="E182" s="10">
        <v>75</v>
      </c>
      <c r="F182" s="9">
        <v>7299</v>
      </c>
      <c r="G182" s="8" t="s">
        <v>50</v>
      </c>
      <c r="H182" s="12" t="s">
        <v>46</v>
      </c>
      <c r="I182" s="10">
        <v>16.557692307692307</v>
      </c>
      <c r="J182" s="8" t="s">
        <v>495</v>
      </c>
      <c r="K182" s="8" t="s">
        <v>594</v>
      </c>
      <c r="L182" s="8" t="s">
        <v>79</v>
      </c>
      <c r="M182" s="8" t="s">
        <v>595</v>
      </c>
      <c r="N182" s="13" t="str">
        <f>HYPERLINK("http://images.bloomingdales.com/is/image/BLM/9843892 ")</f>
        <v xml:space="preserve">http://images.bloomingdales.com/is/image/BLM/9843892 </v>
      </c>
    </row>
    <row r="183" spans="1:14" ht="48" x14ac:dyDescent="0.25">
      <c r="A183" s="12" t="s">
        <v>596</v>
      </c>
      <c r="B183" s="8" t="s">
        <v>597</v>
      </c>
      <c r="C183" s="9">
        <v>2</v>
      </c>
      <c r="D183" s="10">
        <v>30</v>
      </c>
      <c r="E183" s="10">
        <v>60</v>
      </c>
      <c r="F183" s="9" t="s">
        <v>598</v>
      </c>
      <c r="G183" s="8" t="s">
        <v>35</v>
      </c>
      <c r="H183" s="12" t="s">
        <v>599</v>
      </c>
      <c r="I183" s="10">
        <v>16.153846153846153</v>
      </c>
      <c r="J183" s="8" t="s">
        <v>73</v>
      </c>
      <c r="K183" s="8" t="s">
        <v>600</v>
      </c>
      <c r="L183" s="8" t="s">
        <v>31</v>
      </c>
      <c r="M183" s="8" t="s">
        <v>271</v>
      </c>
      <c r="N183" s="13" t="str">
        <f>HYPERLINK("http://slimages.macys.com/is/image/MCY/10787851 ")</f>
        <v xml:space="preserve">http://slimages.macys.com/is/image/MCY/10787851 </v>
      </c>
    </row>
    <row r="184" spans="1:14" ht="48" x14ac:dyDescent="0.25">
      <c r="A184" s="12" t="s">
        <v>601</v>
      </c>
      <c r="B184" s="8" t="s">
        <v>602</v>
      </c>
      <c r="C184" s="9">
        <v>1</v>
      </c>
      <c r="D184" s="10">
        <v>30</v>
      </c>
      <c r="E184" s="10">
        <v>59.99</v>
      </c>
      <c r="F184" s="9" t="s">
        <v>603</v>
      </c>
      <c r="G184" s="8" t="s">
        <v>50</v>
      </c>
      <c r="H184" s="12"/>
      <c r="I184" s="10">
        <v>16.153846153846153</v>
      </c>
      <c r="J184" s="8" t="s">
        <v>262</v>
      </c>
      <c r="K184" s="8" t="s">
        <v>86</v>
      </c>
      <c r="L184" s="8" t="s">
        <v>31</v>
      </c>
      <c r="M184" s="8" t="s">
        <v>604</v>
      </c>
      <c r="N184" s="13" t="str">
        <f>HYPERLINK("http://slimages.macys.com/is/image/MCY/12362525 ")</f>
        <v xml:space="preserve">http://slimages.macys.com/is/image/MCY/12362525 </v>
      </c>
    </row>
    <row r="185" spans="1:14" ht="60" x14ac:dyDescent="0.25">
      <c r="A185" s="12" t="s">
        <v>605</v>
      </c>
      <c r="B185" s="8" t="s">
        <v>606</v>
      </c>
      <c r="C185" s="9">
        <v>1</v>
      </c>
      <c r="D185" s="10">
        <v>30</v>
      </c>
      <c r="E185" s="10">
        <v>85.99</v>
      </c>
      <c r="F185" s="9" t="s">
        <v>607</v>
      </c>
      <c r="G185" s="8" t="s">
        <v>153</v>
      </c>
      <c r="H185" s="12" t="s">
        <v>46</v>
      </c>
      <c r="I185" s="10">
        <v>16.153846153846153</v>
      </c>
      <c r="J185" s="8" t="s">
        <v>29</v>
      </c>
      <c r="K185" s="8" t="s">
        <v>608</v>
      </c>
      <c r="L185" s="8" t="s">
        <v>31</v>
      </c>
      <c r="M185" s="8" t="s">
        <v>80</v>
      </c>
      <c r="N185" s="13" t="str">
        <f>HYPERLINK("http://slimages.macys.com/is/image/MCY/11076296 ")</f>
        <v xml:space="preserve">http://slimages.macys.com/is/image/MCY/11076296 </v>
      </c>
    </row>
    <row r="186" spans="1:14" ht="48" x14ac:dyDescent="0.25">
      <c r="A186" s="12" t="s">
        <v>609</v>
      </c>
      <c r="B186" s="8" t="s">
        <v>610</v>
      </c>
      <c r="C186" s="9">
        <v>1</v>
      </c>
      <c r="D186" s="10">
        <v>30</v>
      </c>
      <c r="E186" s="10">
        <v>59.99</v>
      </c>
      <c r="F186" s="9" t="s">
        <v>611</v>
      </c>
      <c r="G186" s="8" t="s">
        <v>144</v>
      </c>
      <c r="H186" s="12" t="s">
        <v>359</v>
      </c>
      <c r="I186" s="10">
        <v>16.153846153846153</v>
      </c>
      <c r="J186" s="8" t="s">
        <v>262</v>
      </c>
      <c r="K186" s="8" t="s">
        <v>86</v>
      </c>
      <c r="L186" s="8" t="s">
        <v>31</v>
      </c>
      <c r="M186" s="8" t="s">
        <v>604</v>
      </c>
      <c r="N186" s="13" t="str">
        <f>HYPERLINK("http://slimages.macys.com/is/image/MCY/12362618 ")</f>
        <v xml:space="preserve">http://slimages.macys.com/is/image/MCY/12362618 </v>
      </c>
    </row>
    <row r="187" spans="1:14" ht="48" x14ac:dyDescent="0.25">
      <c r="A187" s="12" t="s">
        <v>612</v>
      </c>
      <c r="B187" s="8" t="s">
        <v>613</v>
      </c>
      <c r="C187" s="9">
        <v>1</v>
      </c>
      <c r="D187" s="10">
        <v>30</v>
      </c>
      <c r="E187" s="10">
        <v>59.99</v>
      </c>
      <c r="F187" s="9" t="s">
        <v>614</v>
      </c>
      <c r="G187" s="8" t="s">
        <v>144</v>
      </c>
      <c r="H187" s="12"/>
      <c r="I187" s="10">
        <v>16.153846153846153</v>
      </c>
      <c r="J187" s="8" t="s">
        <v>262</v>
      </c>
      <c r="K187" s="8" t="s">
        <v>86</v>
      </c>
      <c r="L187" s="8"/>
      <c r="M187" s="8" t="s">
        <v>604</v>
      </c>
      <c r="N187" s="13" t="str">
        <f>HYPERLINK("http://slimages.macys.com/is/image/MCY/12362599 ")</f>
        <v xml:space="preserve">http://slimages.macys.com/is/image/MCY/12362599 </v>
      </c>
    </row>
    <row r="188" spans="1:14" ht="48" x14ac:dyDescent="0.25">
      <c r="A188" s="12" t="s">
        <v>601</v>
      </c>
      <c r="B188" s="8" t="s">
        <v>602</v>
      </c>
      <c r="C188" s="9">
        <v>1</v>
      </c>
      <c r="D188" s="10">
        <v>30</v>
      </c>
      <c r="E188" s="10">
        <v>59.99</v>
      </c>
      <c r="F188" s="9" t="s">
        <v>603</v>
      </c>
      <c r="G188" s="8" t="s">
        <v>50</v>
      </c>
      <c r="H188" s="12"/>
      <c r="I188" s="10">
        <v>16.153846153846153</v>
      </c>
      <c r="J188" s="8" t="s">
        <v>262</v>
      </c>
      <c r="K188" s="8" t="s">
        <v>86</v>
      </c>
      <c r="L188" s="8" t="s">
        <v>31</v>
      </c>
      <c r="M188" s="8" t="s">
        <v>604</v>
      </c>
      <c r="N188" s="13" t="str">
        <f>HYPERLINK("http://slimages.macys.com/is/image/MCY/12362525 ")</f>
        <v xml:space="preserve">http://slimages.macys.com/is/image/MCY/12362525 </v>
      </c>
    </row>
    <row r="189" spans="1:14" ht="48" x14ac:dyDescent="0.25">
      <c r="A189" s="12" t="s">
        <v>615</v>
      </c>
      <c r="B189" s="8" t="s">
        <v>616</v>
      </c>
      <c r="C189" s="9">
        <v>1</v>
      </c>
      <c r="D189" s="10">
        <v>30</v>
      </c>
      <c r="E189" s="10">
        <v>79.989999999999995</v>
      </c>
      <c r="F189" s="9" t="s">
        <v>617</v>
      </c>
      <c r="G189" s="8" t="s">
        <v>168</v>
      </c>
      <c r="H189" s="12" t="s">
        <v>46</v>
      </c>
      <c r="I189" s="10">
        <v>16.153846153846153</v>
      </c>
      <c r="J189" s="8" t="s">
        <v>29</v>
      </c>
      <c r="K189" s="8" t="s">
        <v>618</v>
      </c>
      <c r="L189" s="8"/>
      <c r="M189" s="8"/>
      <c r="N189" s="13" t="str">
        <f>HYPERLINK("http://slimages.macys.com/is/image/MCY/18747510 ")</f>
        <v xml:space="preserve">http://slimages.macys.com/is/image/MCY/18747510 </v>
      </c>
    </row>
    <row r="190" spans="1:14" ht="48" x14ac:dyDescent="0.25">
      <c r="A190" s="12" t="s">
        <v>619</v>
      </c>
      <c r="B190" s="8" t="s">
        <v>620</v>
      </c>
      <c r="C190" s="9">
        <v>1</v>
      </c>
      <c r="D190" s="10">
        <v>30</v>
      </c>
      <c r="E190" s="10">
        <v>59.99</v>
      </c>
      <c r="F190" s="9" t="s">
        <v>621</v>
      </c>
      <c r="G190" s="8" t="s">
        <v>45</v>
      </c>
      <c r="H190" s="12" t="s">
        <v>266</v>
      </c>
      <c r="I190" s="10">
        <v>16.153846153846153</v>
      </c>
      <c r="J190" s="8" t="s">
        <v>138</v>
      </c>
      <c r="K190" s="8" t="s">
        <v>501</v>
      </c>
      <c r="L190" s="8" t="s">
        <v>31</v>
      </c>
      <c r="M190" s="8" t="s">
        <v>460</v>
      </c>
      <c r="N190" s="13" t="str">
        <f>HYPERLINK("http://slimages.macys.com/is/image/MCY/3275032 ")</f>
        <v xml:space="preserve">http://slimages.macys.com/is/image/MCY/3275032 </v>
      </c>
    </row>
    <row r="191" spans="1:14" ht="48" x14ac:dyDescent="0.25">
      <c r="A191" s="12" t="s">
        <v>622</v>
      </c>
      <c r="B191" s="8" t="s">
        <v>623</v>
      </c>
      <c r="C191" s="9">
        <v>1</v>
      </c>
      <c r="D191" s="10">
        <v>30</v>
      </c>
      <c r="E191" s="10">
        <v>23.11</v>
      </c>
      <c r="F191" s="9" t="s">
        <v>624</v>
      </c>
      <c r="G191" s="8" t="s">
        <v>50</v>
      </c>
      <c r="H191" s="12" t="s">
        <v>266</v>
      </c>
      <c r="I191" s="10">
        <v>16.153846153846153</v>
      </c>
      <c r="J191" s="8" t="s">
        <v>138</v>
      </c>
      <c r="K191" s="8" t="s">
        <v>420</v>
      </c>
      <c r="L191" s="8"/>
      <c r="M191" s="8" t="s">
        <v>460</v>
      </c>
      <c r="N191" s="13" t="str">
        <f>HYPERLINK("http://slimages.macys.com/is/image/MCY/495107 ")</f>
        <v xml:space="preserve">http://slimages.macys.com/is/image/MCY/495107 </v>
      </c>
    </row>
    <row r="192" spans="1:14" ht="60" x14ac:dyDescent="0.25">
      <c r="A192" s="12" t="s">
        <v>625</v>
      </c>
      <c r="B192" s="8" t="s">
        <v>626</v>
      </c>
      <c r="C192" s="9">
        <v>1</v>
      </c>
      <c r="D192" s="10">
        <v>30</v>
      </c>
      <c r="E192" s="10">
        <v>60</v>
      </c>
      <c r="F192" s="9">
        <v>5396279</v>
      </c>
      <c r="G192" s="8" t="s">
        <v>50</v>
      </c>
      <c r="H192" s="12" t="s">
        <v>46</v>
      </c>
      <c r="I192" s="10">
        <v>16.153846153846153</v>
      </c>
      <c r="J192" s="8" t="s">
        <v>73</v>
      </c>
      <c r="K192" s="8" t="s">
        <v>282</v>
      </c>
      <c r="L192" s="8" t="s">
        <v>627</v>
      </c>
      <c r="M192" s="8" t="s">
        <v>571</v>
      </c>
      <c r="N192" s="13" t="str">
        <f>HYPERLINK("http://images.bloomingdales.com/is/image/BLM/11027244 ")</f>
        <v xml:space="preserve">http://images.bloomingdales.com/is/image/BLM/11027244 </v>
      </c>
    </row>
    <row r="193" spans="1:14" ht="48" x14ac:dyDescent="0.25">
      <c r="A193" s="12" t="s">
        <v>628</v>
      </c>
      <c r="B193" s="8" t="s">
        <v>629</v>
      </c>
      <c r="C193" s="9">
        <v>1</v>
      </c>
      <c r="D193" s="10">
        <v>30</v>
      </c>
      <c r="E193" s="10">
        <v>59.99</v>
      </c>
      <c r="F193" s="9" t="s">
        <v>630</v>
      </c>
      <c r="G193" s="8" t="s">
        <v>50</v>
      </c>
      <c r="H193" s="12" t="s">
        <v>359</v>
      </c>
      <c r="I193" s="10">
        <v>16.153846153846153</v>
      </c>
      <c r="J193" s="8" t="s">
        <v>262</v>
      </c>
      <c r="K193" s="8" t="s">
        <v>86</v>
      </c>
      <c r="L193" s="8" t="s">
        <v>31</v>
      </c>
      <c r="M193" s="8" t="s">
        <v>604</v>
      </c>
      <c r="N193" s="13" t="str">
        <f>HYPERLINK("http://slimages.macys.com/is/image/MCY/12362570 ")</f>
        <v xml:space="preserve">http://slimages.macys.com/is/image/MCY/12362570 </v>
      </c>
    </row>
    <row r="194" spans="1:14" ht="48" x14ac:dyDescent="0.25">
      <c r="A194" s="12" t="s">
        <v>631</v>
      </c>
      <c r="B194" s="8" t="s">
        <v>632</v>
      </c>
      <c r="C194" s="9">
        <v>1</v>
      </c>
      <c r="D194" s="10">
        <v>30</v>
      </c>
      <c r="E194" s="10">
        <v>59.99</v>
      </c>
      <c r="F194" s="9">
        <v>73198260</v>
      </c>
      <c r="G194" s="8" t="s">
        <v>50</v>
      </c>
      <c r="H194" s="12" t="s">
        <v>633</v>
      </c>
      <c r="I194" s="10">
        <v>16.153846153846153</v>
      </c>
      <c r="J194" s="8" t="s">
        <v>262</v>
      </c>
      <c r="K194" s="8" t="s">
        <v>512</v>
      </c>
      <c r="L194" s="8" t="s">
        <v>31</v>
      </c>
      <c r="M194" s="8" t="s">
        <v>533</v>
      </c>
      <c r="N194" s="13" t="str">
        <f>HYPERLINK("http://slimages.macys.com/is/image/MCY/16473087 ")</f>
        <v xml:space="preserve">http://slimages.macys.com/is/image/MCY/16473087 </v>
      </c>
    </row>
    <row r="195" spans="1:14" ht="48" x14ac:dyDescent="0.25">
      <c r="A195" s="12" t="s">
        <v>619</v>
      </c>
      <c r="B195" s="8" t="s">
        <v>620</v>
      </c>
      <c r="C195" s="9">
        <v>1</v>
      </c>
      <c r="D195" s="10">
        <v>30</v>
      </c>
      <c r="E195" s="10">
        <v>59.99</v>
      </c>
      <c r="F195" s="9" t="s">
        <v>621</v>
      </c>
      <c r="G195" s="8" t="s">
        <v>45</v>
      </c>
      <c r="H195" s="12" t="s">
        <v>266</v>
      </c>
      <c r="I195" s="10">
        <v>16.153846153846153</v>
      </c>
      <c r="J195" s="8" t="s">
        <v>138</v>
      </c>
      <c r="K195" s="8" t="s">
        <v>501</v>
      </c>
      <c r="L195" s="8" t="s">
        <v>31</v>
      </c>
      <c r="M195" s="8" t="s">
        <v>460</v>
      </c>
      <c r="N195" s="13" t="str">
        <f>HYPERLINK("http://slimages.macys.com/is/image/MCY/3275032 ")</f>
        <v xml:space="preserve">http://slimages.macys.com/is/image/MCY/3275032 </v>
      </c>
    </row>
    <row r="196" spans="1:14" ht="48" x14ac:dyDescent="0.25">
      <c r="A196" s="12" t="s">
        <v>634</v>
      </c>
      <c r="B196" s="8" t="s">
        <v>635</v>
      </c>
      <c r="C196" s="9">
        <v>1</v>
      </c>
      <c r="D196" s="10">
        <v>30</v>
      </c>
      <c r="E196" s="10">
        <v>45</v>
      </c>
      <c r="F196" s="9">
        <v>55010500051</v>
      </c>
      <c r="G196" s="8" t="s">
        <v>50</v>
      </c>
      <c r="H196" s="12" t="s">
        <v>327</v>
      </c>
      <c r="I196" s="10">
        <v>16.153846153846153</v>
      </c>
      <c r="J196" s="8" t="s">
        <v>52</v>
      </c>
      <c r="K196" s="8" t="s">
        <v>267</v>
      </c>
      <c r="L196" s="8"/>
      <c r="M196" s="8" t="s">
        <v>54</v>
      </c>
      <c r="N196" s="13" t="str">
        <f>HYPERLINK("http://slimages.macys.com/is/image/MCY/1130301 ")</f>
        <v xml:space="preserve">http://slimages.macys.com/is/image/MCY/1130301 </v>
      </c>
    </row>
    <row r="197" spans="1:14" ht="48" x14ac:dyDescent="0.25">
      <c r="A197" s="12" t="s">
        <v>636</v>
      </c>
      <c r="B197" s="8" t="s">
        <v>637</v>
      </c>
      <c r="C197" s="9">
        <v>2</v>
      </c>
      <c r="D197" s="10">
        <v>30</v>
      </c>
      <c r="E197" s="10">
        <v>50</v>
      </c>
      <c r="F197" s="9">
        <v>72997808</v>
      </c>
      <c r="G197" s="8" t="s">
        <v>50</v>
      </c>
      <c r="H197" s="12"/>
      <c r="I197" s="10">
        <v>16.153846153846153</v>
      </c>
      <c r="J197" s="8" t="s">
        <v>262</v>
      </c>
      <c r="K197" s="8" t="s">
        <v>512</v>
      </c>
      <c r="L197" s="8" t="s">
        <v>31</v>
      </c>
      <c r="M197" s="8"/>
      <c r="N197" s="13" t="str">
        <f>HYPERLINK("http://slimages.macys.com/is/image/MCY/2208919 ")</f>
        <v xml:space="preserve">http://slimages.macys.com/is/image/MCY/2208919 </v>
      </c>
    </row>
    <row r="198" spans="1:14" ht="84" x14ac:dyDescent="0.25">
      <c r="A198" s="12" t="s">
        <v>638</v>
      </c>
      <c r="B198" s="8" t="s">
        <v>639</v>
      </c>
      <c r="C198" s="9">
        <v>1</v>
      </c>
      <c r="D198" s="10">
        <v>29.25</v>
      </c>
      <c r="E198" s="10">
        <v>55</v>
      </c>
      <c r="F198" s="9" t="s">
        <v>640</v>
      </c>
      <c r="G198" s="8" t="s">
        <v>50</v>
      </c>
      <c r="H198" s="12" t="s">
        <v>641</v>
      </c>
      <c r="I198" s="10">
        <v>15.75</v>
      </c>
      <c r="J198" s="8" t="s">
        <v>37</v>
      </c>
      <c r="K198" s="8" t="s">
        <v>642</v>
      </c>
      <c r="L198" s="8" t="s">
        <v>286</v>
      </c>
      <c r="M198" s="8" t="s">
        <v>643</v>
      </c>
      <c r="N198" s="13" t="str">
        <f>HYPERLINK("http://images.bloomingdales.com/is/image/BLM/9754253 ")</f>
        <v xml:space="preserve">http://images.bloomingdales.com/is/image/BLM/9754253 </v>
      </c>
    </row>
    <row r="199" spans="1:14" ht="48" x14ac:dyDescent="0.25">
      <c r="A199" s="12" t="s">
        <v>644</v>
      </c>
      <c r="B199" s="8" t="s">
        <v>645</v>
      </c>
      <c r="C199" s="9">
        <v>1</v>
      </c>
      <c r="D199" s="10">
        <v>29</v>
      </c>
      <c r="E199" s="10">
        <v>62.99</v>
      </c>
      <c r="F199" s="9" t="s">
        <v>646</v>
      </c>
      <c r="G199" s="8" t="s">
        <v>647</v>
      </c>
      <c r="H199" s="12" t="s">
        <v>46</v>
      </c>
      <c r="I199" s="10">
        <v>15.615384615384615</v>
      </c>
      <c r="J199" s="8" t="s">
        <v>313</v>
      </c>
      <c r="K199" s="8" t="s">
        <v>648</v>
      </c>
      <c r="L199" s="8"/>
      <c r="M199" s="8"/>
      <c r="N199" s="13" t="str">
        <f>HYPERLINK("http://slimages.macys.com/is/image/MCY/19411780 ")</f>
        <v xml:space="preserve">http://slimages.macys.com/is/image/MCY/19411780 </v>
      </c>
    </row>
    <row r="200" spans="1:14" ht="156" x14ac:dyDescent="0.25">
      <c r="A200" s="12" t="s">
        <v>649</v>
      </c>
      <c r="B200" s="8" t="s">
        <v>650</v>
      </c>
      <c r="C200" s="9">
        <v>2</v>
      </c>
      <c r="D200" s="10">
        <v>29</v>
      </c>
      <c r="E200" s="10">
        <v>58</v>
      </c>
      <c r="F200" s="9" t="s">
        <v>651</v>
      </c>
      <c r="G200" s="8" t="s">
        <v>50</v>
      </c>
      <c r="H200" s="12" t="s">
        <v>46</v>
      </c>
      <c r="I200" s="10">
        <v>15.615384615384615</v>
      </c>
      <c r="J200" s="8" t="s">
        <v>495</v>
      </c>
      <c r="K200" s="8" t="s">
        <v>496</v>
      </c>
      <c r="L200" s="8" t="s">
        <v>79</v>
      </c>
      <c r="M200" s="8" t="s">
        <v>497</v>
      </c>
      <c r="N200" s="13" t="str">
        <f>HYPERLINK("http://images.bloomingdales.com/is/image/BLM/9273717 ")</f>
        <v xml:space="preserve">http://images.bloomingdales.com/is/image/BLM/9273717 </v>
      </c>
    </row>
    <row r="201" spans="1:14" ht="60" x14ac:dyDescent="0.25">
      <c r="A201" s="12" t="s">
        <v>652</v>
      </c>
      <c r="B201" s="8" t="s">
        <v>653</v>
      </c>
      <c r="C201" s="9">
        <v>1</v>
      </c>
      <c r="D201" s="10">
        <v>28.8</v>
      </c>
      <c r="E201" s="10">
        <v>40</v>
      </c>
      <c r="F201" s="9">
        <v>102435</v>
      </c>
      <c r="G201" s="8" t="s">
        <v>50</v>
      </c>
      <c r="H201" s="12" t="s">
        <v>46</v>
      </c>
      <c r="I201" s="10">
        <v>15.507692307692308</v>
      </c>
      <c r="J201" s="8" t="s">
        <v>262</v>
      </c>
      <c r="K201" s="8" t="s">
        <v>263</v>
      </c>
      <c r="L201" s="8" t="s">
        <v>438</v>
      </c>
      <c r="M201" s="8" t="s">
        <v>54</v>
      </c>
      <c r="N201" s="13" t="str">
        <f>HYPERLINK("http://images.bloomingdales.com/is/image/BLM/10318123 ")</f>
        <v xml:space="preserve">http://images.bloomingdales.com/is/image/BLM/10318123 </v>
      </c>
    </row>
    <row r="202" spans="1:14" ht="48" x14ac:dyDescent="0.25">
      <c r="A202" s="12" t="s">
        <v>654</v>
      </c>
      <c r="B202" s="8" t="s">
        <v>655</v>
      </c>
      <c r="C202" s="9">
        <v>1</v>
      </c>
      <c r="D202" s="10">
        <v>28.32</v>
      </c>
      <c r="E202" s="10">
        <v>54.99</v>
      </c>
      <c r="F202" s="9" t="s">
        <v>656</v>
      </c>
      <c r="G202" s="8" t="s">
        <v>50</v>
      </c>
      <c r="H202" s="12" t="s">
        <v>327</v>
      </c>
      <c r="I202" s="10">
        <v>15.24923076923077</v>
      </c>
      <c r="J202" s="8" t="s">
        <v>262</v>
      </c>
      <c r="K202" s="8" t="s">
        <v>263</v>
      </c>
      <c r="L202" s="8"/>
      <c r="M202" s="8" t="s">
        <v>657</v>
      </c>
      <c r="N202" s="13" t="str">
        <f>HYPERLINK("http://slimages.macys.com/is/image/MCY/1119405 ")</f>
        <v xml:space="preserve">http://slimages.macys.com/is/image/MCY/1119405 </v>
      </c>
    </row>
    <row r="203" spans="1:14" ht="48" x14ac:dyDescent="0.25">
      <c r="A203" s="12" t="s">
        <v>658</v>
      </c>
      <c r="B203" s="8" t="s">
        <v>659</v>
      </c>
      <c r="C203" s="9">
        <v>1</v>
      </c>
      <c r="D203" s="10">
        <v>27.5</v>
      </c>
      <c r="E203" s="10">
        <v>50</v>
      </c>
      <c r="F203" s="9">
        <v>40003689</v>
      </c>
      <c r="G203" s="8" t="s">
        <v>45</v>
      </c>
      <c r="H203" s="12" t="s">
        <v>359</v>
      </c>
      <c r="I203" s="10">
        <v>14.807692307692307</v>
      </c>
      <c r="J203" s="8" t="s">
        <v>52</v>
      </c>
      <c r="K203" s="8" t="s">
        <v>267</v>
      </c>
      <c r="L203" s="8" t="s">
        <v>31</v>
      </c>
      <c r="M203" s="8"/>
      <c r="N203" s="13" t="str">
        <f>HYPERLINK("http://slimages.macys.com/is/image/MCY/2269001 ")</f>
        <v xml:space="preserve">http://slimages.macys.com/is/image/MCY/2269001 </v>
      </c>
    </row>
    <row r="204" spans="1:14" ht="48" x14ac:dyDescent="0.25">
      <c r="A204" s="12" t="s">
        <v>660</v>
      </c>
      <c r="B204" s="8" t="s">
        <v>661</v>
      </c>
      <c r="C204" s="9">
        <v>1</v>
      </c>
      <c r="D204" s="10">
        <v>27.5</v>
      </c>
      <c r="E204" s="10">
        <v>45</v>
      </c>
      <c r="F204" s="9">
        <v>50146901004</v>
      </c>
      <c r="G204" s="8" t="s">
        <v>45</v>
      </c>
      <c r="H204" s="12" t="s">
        <v>599</v>
      </c>
      <c r="I204" s="10">
        <v>14.807692307692307</v>
      </c>
      <c r="J204" s="8" t="s">
        <v>37</v>
      </c>
      <c r="K204" s="8" t="s">
        <v>267</v>
      </c>
      <c r="L204" s="8"/>
      <c r="M204" s="8" t="s">
        <v>182</v>
      </c>
      <c r="N204" s="13" t="str">
        <f>HYPERLINK("http://slimages.macys.com/is/image/MCY/1249676 ")</f>
        <v xml:space="preserve">http://slimages.macys.com/is/image/MCY/1249676 </v>
      </c>
    </row>
    <row r="205" spans="1:14" ht="60" x14ac:dyDescent="0.25">
      <c r="A205" s="12" t="s">
        <v>662</v>
      </c>
      <c r="B205" s="8" t="s">
        <v>663</v>
      </c>
      <c r="C205" s="9">
        <v>5</v>
      </c>
      <c r="D205" s="10">
        <v>27.5</v>
      </c>
      <c r="E205" s="10">
        <v>45</v>
      </c>
      <c r="F205" s="9" t="s">
        <v>664</v>
      </c>
      <c r="G205" s="8" t="s">
        <v>475</v>
      </c>
      <c r="H205" s="12" t="s">
        <v>665</v>
      </c>
      <c r="I205" s="10">
        <v>14.807692307692307</v>
      </c>
      <c r="J205" s="8" t="s">
        <v>37</v>
      </c>
      <c r="K205" s="8" t="s">
        <v>38</v>
      </c>
      <c r="L205" s="8"/>
      <c r="M205" s="8"/>
      <c r="N205" s="13" t="str">
        <f>HYPERLINK("http://images.bloomingdales.com/is/image/BLM/1005823 ")</f>
        <v xml:space="preserve">http://images.bloomingdales.com/is/image/BLM/1005823 </v>
      </c>
    </row>
    <row r="206" spans="1:14" ht="72" x14ac:dyDescent="0.25">
      <c r="A206" s="12" t="s">
        <v>666</v>
      </c>
      <c r="B206" s="8" t="s">
        <v>667</v>
      </c>
      <c r="C206" s="9">
        <v>5</v>
      </c>
      <c r="D206" s="10">
        <v>27</v>
      </c>
      <c r="E206" s="10">
        <v>59.99</v>
      </c>
      <c r="F206" s="9" t="s">
        <v>668</v>
      </c>
      <c r="G206" s="8" t="s">
        <v>50</v>
      </c>
      <c r="H206" s="12" t="s">
        <v>46</v>
      </c>
      <c r="I206" s="10">
        <v>14.538461538461537</v>
      </c>
      <c r="J206" s="8" t="s">
        <v>262</v>
      </c>
      <c r="K206" s="8" t="s">
        <v>669</v>
      </c>
      <c r="L206" s="8" t="s">
        <v>31</v>
      </c>
      <c r="M206" s="8" t="s">
        <v>670</v>
      </c>
      <c r="N206" s="13" t="str">
        <f>HYPERLINK("http://slimages.macys.com/is/image/MCY/10264154 ")</f>
        <v xml:space="preserve">http://slimages.macys.com/is/image/MCY/10264154 </v>
      </c>
    </row>
    <row r="207" spans="1:14" ht="84" x14ac:dyDescent="0.25">
      <c r="A207" s="12" t="s">
        <v>671</v>
      </c>
      <c r="B207" s="8" t="s">
        <v>672</v>
      </c>
      <c r="C207" s="9">
        <v>1</v>
      </c>
      <c r="D207" s="10">
        <v>26</v>
      </c>
      <c r="E207" s="10">
        <v>129.99</v>
      </c>
      <c r="F207" s="9" t="s">
        <v>673</v>
      </c>
      <c r="G207" s="8" t="s">
        <v>35</v>
      </c>
      <c r="H207" s="12"/>
      <c r="I207" s="10">
        <v>13.999999999999998</v>
      </c>
      <c r="J207" s="8" t="s">
        <v>29</v>
      </c>
      <c r="K207" s="8" t="s">
        <v>674</v>
      </c>
      <c r="L207" s="8" t="s">
        <v>31</v>
      </c>
      <c r="M207" s="8" t="s">
        <v>675</v>
      </c>
      <c r="N207" s="13" t="str">
        <f>HYPERLINK("http://slimages.macys.com/is/image/MCY/9280083 ")</f>
        <v xml:space="preserve">http://slimages.macys.com/is/image/MCY/9280083 </v>
      </c>
    </row>
    <row r="208" spans="1:14" ht="48" x14ac:dyDescent="0.25">
      <c r="A208" s="12" t="s">
        <v>676</v>
      </c>
      <c r="B208" s="8" t="s">
        <v>677</v>
      </c>
      <c r="C208" s="9">
        <v>1</v>
      </c>
      <c r="D208" s="10">
        <v>26</v>
      </c>
      <c r="E208" s="10">
        <v>65</v>
      </c>
      <c r="F208" s="9">
        <v>5393459</v>
      </c>
      <c r="G208" s="8" t="s">
        <v>50</v>
      </c>
      <c r="H208" s="12" t="s">
        <v>46</v>
      </c>
      <c r="I208" s="10">
        <v>13.999999999999998</v>
      </c>
      <c r="J208" s="8" t="s">
        <v>73</v>
      </c>
      <c r="K208" s="8" t="s">
        <v>282</v>
      </c>
      <c r="L208" s="8" t="s">
        <v>31</v>
      </c>
      <c r="M208" s="8" t="s">
        <v>54</v>
      </c>
      <c r="N208" s="13" t="str">
        <f>HYPERLINK("http://slimages.macys.com/is/image/MCY/10015856 ")</f>
        <v xml:space="preserve">http://slimages.macys.com/is/image/MCY/10015856 </v>
      </c>
    </row>
    <row r="209" spans="1:14" ht="48" x14ac:dyDescent="0.25">
      <c r="A209" s="12" t="s">
        <v>678</v>
      </c>
      <c r="B209" s="8" t="s">
        <v>679</v>
      </c>
      <c r="C209" s="9">
        <v>1</v>
      </c>
      <c r="D209" s="10">
        <v>26</v>
      </c>
      <c r="E209" s="10">
        <v>45.99</v>
      </c>
      <c r="F209" s="9" t="s">
        <v>680</v>
      </c>
      <c r="G209" s="8" t="s">
        <v>681</v>
      </c>
      <c r="H209" s="12" t="s">
        <v>682</v>
      </c>
      <c r="I209" s="10">
        <v>13.999999999999998</v>
      </c>
      <c r="J209" s="8" t="s">
        <v>37</v>
      </c>
      <c r="K209" s="8" t="s">
        <v>68</v>
      </c>
      <c r="L209" s="8" t="s">
        <v>31</v>
      </c>
      <c r="M209" s="8" t="s">
        <v>39</v>
      </c>
      <c r="N209" s="13" t="str">
        <f>HYPERLINK("http://slimages.macys.com/is/image/MCY/16354229 ")</f>
        <v xml:space="preserve">http://slimages.macys.com/is/image/MCY/16354229 </v>
      </c>
    </row>
    <row r="210" spans="1:14" ht="48" x14ac:dyDescent="0.25">
      <c r="A210" s="12" t="s">
        <v>683</v>
      </c>
      <c r="B210" s="8" t="s">
        <v>684</v>
      </c>
      <c r="C210" s="9">
        <v>1</v>
      </c>
      <c r="D210" s="10">
        <v>26</v>
      </c>
      <c r="E210" s="10">
        <v>57.99</v>
      </c>
      <c r="F210" s="9">
        <v>5258679</v>
      </c>
      <c r="G210" s="8"/>
      <c r="H210" s="12" t="s">
        <v>46</v>
      </c>
      <c r="I210" s="10">
        <v>13.999999999999998</v>
      </c>
      <c r="J210" s="8" t="s">
        <v>138</v>
      </c>
      <c r="K210" s="8" t="s">
        <v>685</v>
      </c>
      <c r="L210" s="8"/>
      <c r="M210" s="8"/>
      <c r="N210" s="13" t="str">
        <f>HYPERLINK("http://slimages.macys.com/is/image/MCY/19279104 ")</f>
        <v xml:space="preserve">http://slimages.macys.com/is/image/MCY/19279104 </v>
      </c>
    </row>
    <row r="211" spans="1:14" ht="48" x14ac:dyDescent="0.25">
      <c r="A211" s="12" t="s">
        <v>686</v>
      </c>
      <c r="B211" s="8" t="s">
        <v>687</v>
      </c>
      <c r="C211" s="9">
        <v>1</v>
      </c>
      <c r="D211" s="10">
        <v>25.8</v>
      </c>
      <c r="E211" s="10">
        <v>46.49</v>
      </c>
      <c r="F211" s="9" t="s">
        <v>688</v>
      </c>
      <c r="G211" s="8" t="s">
        <v>374</v>
      </c>
      <c r="H211" s="12"/>
      <c r="I211" s="10">
        <v>13.892307692307691</v>
      </c>
      <c r="J211" s="8" t="s">
        <v>209</v>
      </c>
      <c r="K211" s="8" t="s">
        <v>210</v>
      </c>
      <c r="L211" s="8" t="s">
        <v>79</v>
      </c>
      <c r="M211" s="8" t="s">
        <v>376</v>
      </c>
      <c r="N211" s="13" t="str">
        <f>HYPERLINK("http://slimages.macys.com/is/image/MCY/8289633 ")</f>
        <v xml:space="preserve">http://slimages.macys.com/is/image/MCY/8289633 </v>
      </c>
    </row>
    <row r="212" spans="1:14" ht="48" x14ac:dyDescent="0.25">
      <c r="A212" s="12" t="s">
        <v>689</v>
      </c>
      <c r="B212" s="8" t="s">
        <v>690</v>
      </c>
      <c r="C212" s="9">
        <v>1</v>
      </c>
      <c r="D212" s="10">
        <v>25.6</v>
      </c>
      <c r="E212" s="10">
        <v>99.99</v>
      </c>
      <c r="F212" s="9">
        <v>10006892900</v>
      </c>
      <c r="G212" s="8" t="s">
        <v>50</v>
      </c>
      <c r="H212" s="12" t="s">
        <v>46</v>
      </c>
      <c r="I212" s="10">
        <v>13.784615384615385</v>
      </c>
      <c r="J212" s="8" t="s">
        <v>138</v>
      </c>
      <c r="K212" s="8" t="s">
        <v>691</v>
      </c>
      <c r="L212" s="8" t="s">
        <v>31</v>
      </c>
      <c r="M212" s="8" t="s">
        <v>233</v>
      </c>
      <c r="N212" s="13" t="str">
        <f>HYPERLINK("http://slimages.macys.com/is/image/MCY/14442604 ")</f>
        <v xml:space="preserve">http://slimages.macys.com/is/image/MCY/14442604 </v>
      </c>
    </row>
    <row r="213" spans="1:14" ht="48" x14ac:dyDescent="0.25">
      <c r="A213" s="12" t="s">
        <v>692</v>
      </c>
      <c r="B213" s="8" t="s">
        <v>693</v>
      </c>
      <c r="C213" s="9">
        <v>1</v>
      </c>
      <c r="D213" s="10">
        <v>25</v>
      </c>
      <c r="E213" s="10">
        <v>79.989999999999995</v>
      </c>
      <c r="F213" s="9">
        <v>64047</v>
      </c>
      <c r="G213" s="8" t="s">
        <v>694</v>
      </c>
      <c r="H213" s="12" t="s">
        <v>36</v>
      </c>
      <c r="I213" s="10">
        <v>13.461538461538462</v>
      </c>
      <c r="J213" s="8" t="s">
        <v>254</v>
      </c>
      <c r="K213" s="8" t="s">
        <v>695</v>
      </c>
      <c r="L213" s="8" t="s">
        <v>31</v>
      </c>
      <c r="M213" s="8" t="s">
        <v>69</v>
      </c>
      <c r="N213" s="13" t="str">
        <f>HYPERLINK("http://slimages.macys.com/is/image/MCY/9213002 ")</f>
        <v xml:space="preserve">http://slimages.macys.com/is/image/MCY/9213002 </v>
      </c>
    </row>
    <row r="214" spans="1:14" ht="48" x14ac:dyDescent="0.25">
      <c r="A214" s="12" t="s">
        <v>696</v>
      </c>
      <c r="B214" s="8" t="s">
        <v>697</v>
      </c>
      <c r="C214" s="9">
        <v>1</v>
      </c>
      <c r="D214" s="10">
        <v>25</v>
      </c>
      <c r="E214" s="10">
        <v>49.99</v>
      </c>
      <c r="F214" s="9">
        <v>5205890</v>
      </c>
      <c r="G214" s="8" t="s">
        <v>50</v>
      </c>
      <c r="H214" s="12" t="s">
        <v>46</v>
      </c>
      <c r="I214" s="10">
        <v>13.461538461538462</v>
      </c>
      <c r="J214" s="8" t="s">
        <v>313</v>
      </c>
      <c r="K214" s="8" t="s">
        <v>139</v>
      </c>
      <c r="L214" s="8" t="s">
        <v>31</v>
      </c>
      <c r="M214" s="8" t="s">
        <v>54</v>
      </c>
      <c r="N214" s="13" t="str">
        <f>HYPERLINK("http://slimages.macys.com/is/image/MCY/9127574 ")</f>
        <v xml:space="preserve">http://slimages.macys.com/is/image/MCY/9127574 </v>
      </c>
    </row>
    <row r="215" spans="1:14" ht="48" x14ac:dyDescent="0.25">
      <c r="A215" s="12" t="s">
        <v>698</v>
      </c>
      <c r="B215" s="8" t="s">
        <v>699</v>
      </c>
      <c r="C215" s="9">
        <v>3</v>
      </c>
      <c r="D215" s="10">
        <v>25</v>
      </c>
      <c r="E215" s="10">
        <v>49.99</v>
      </c>
      <c r="F215" s="9" t="s">
        <v>700</v>
      </c>
      <c r="G215" s="8" t="s">
        <v>168</v>
      </c>
      <c r="H215" s="12" t="s">
        <v>106</v>
      </c>
      <c r="I215" s="10">
        <v>13.461538461538462</v>
      </c>
      <c r="J215" s="8" t="s">
        <v>254</v>
      </c>
      <c r="K215" s="8" t="s">
        <v>701</v>
      </c>
      <c r="L215" s="8" t="s">
        <v>31</v>
      </c>
      <c r="M215" s="8" t="s">
        <v>271</v>
      </c>
      <c r="N215" s="13" t="str">
        <f>HYPERLINK("http://slimages.macys.com/is/image/MCY/9669630 ")</f>
        <v xml:space="preserve">http://slimages.macys.com/is/image/MCY/9669630 </v>
      </c>
    </row>
    <row r="216" spans="1:14" ht="48" x14ac:dyDescent="0.25">
      <c r="A216" s="12" t="s">
        <v>702</v>
      </c>
      <c r="B216" s="8" t="s">
        <v>703</v>
      </c>
      <c r="C216" s="9">
        <v>1</v>
      </c>
      <c r="D216" s="10">
        <v>25</v>
      </c>
      <c r="E216" s="10">
        <v>23.11</v>
      </c>
      <c r="F216" s="9" t="s">
        <v>704</v>
      </c>
      <c r="G216" s="8" t="s">
        <v>50</v>
      </c>
      <c r="H216" s="12" t="s">
        <v>174</v>
      </c>
      <c r="I216" s="10">
        <v>13.461538461538462</v>
      </c>
      <c r="J216" s="8" t="s">
        <v>254</v>
      </c>
      <c r="K216" s="8" t="s">
        <v>68</v>
      </c>
      <c r="L216" s="8"/>
      <c r="M216" s="8" t="s">
        <v>271</v>
      </c>
      <c r="N216" s="13" t="str">
        <f>HYPERLINK("http://slimages.macys.com/is/image/MCY/1834199 ")</f>
        <v xml:space="preserve">http://slimages.macys.com/is/image/MCY/1834199 </v>
      </c>
    </row>
    <row r="217" spans="1:14" ht="48" x14ac:dyDescent="0.25">
      <c r="A217" s="12" t="s">
        <v>705</v>
      </c>
      <c r="B217" s="8" t="s">
        <v>706</v>
      </c>
      <c r="C217" s="9">
        <v>1</v>
      </c>
      <c r="D217" s="10">
        <v>25</v>
      </c>
      <c r="E217" s="10">
        <v>49.99</v>
      </c>
      <c r="F217" s="9" t="s">
        <v>707</v>
      </c>
      <c r="G217" s="8" t="s">
        <v>35</v>
      </c>
      <c r="H217" s="12" t="s">
        <v>708</v>
      </c>
      <c r="I217" s="10">
        <v>13.461538461538462</v>
      </c>
      <c r="J217" s="8" t="s">
        <v>254</v>
      </c>
      <c r="K217" s="8" t="s">
        <v>86</v>
      </c>
      <c r="L217" s="8"/>
      <c r="M217" s="8"/>
      <c r="N217" s="13" t="str">
        <f>HYPERLINK("http://slimages.macys.com/is/image/MCY/20840307 ")</f>
        <v xml:space="preserve">http://slimages.macys.com/is/image/MCY/20840307 </v>
      </c>
    </row>
    <row r="218" spans="1:14" ht="48" x14ac:dyDescent="0.25">
      <c r="A218" s="12" t="s">
        <v>709</v>
      </c>
      <c r="B218" s="8" t="s">
        <v>710</v>
      </c>
      <c r="C218" s="9">
        <v>1</v>
      </c>
      <c r="D218" s="10">
        <v>25</v>
      </c>
      <c r="E218" s="10">
        <v>49.99</v>
      </c>
      <c r="F218" s="9">
        <v>73011590</v>
      </c>
      <c r="G218" s="8" t="s">
        <v>50</v>
      </c>
      <c r="H218" s="12"/>
      <c r="I218" s="10">
        <v>13.461538461538462</v>
      </c>
      <c r="J218" s="8" t="s">
        <v>313</v>
      </c>
      <c r="K218" s="8" t="s">
        <v>512</v>
      </c>
      <c r="L218" s="8" t="s">
        <v>31</v>
      </c>
      <c r="M218" s="8" t="s">
        <v>54</v>
      </c>
      <c r="N218" s="13" t="str">
        <f>HYPERLINK("http://slimages.macys.com/is/image/MCY/10224345 ")</f>
        <v xml:space="preserve">http://slimages.macys.com/is/image/MCY/10224345 </v>
      </c>
    </row>
    <row r="219" spans="1:14" ht="48" x14ac:dyDescent="0.25">
      <c r="A219" s="12" t="s">
        <v>711</v>
      </c>
      <c r="B219" s="8" t="s">
        <v>712</v>
      </c>
      <c r="C219" s="9">
        <v>2</v>
      </c>
      <c r="D219" s="10">
        <v>25</v>
      </c>
      <c r="E219" s="10">
        <v>50</v>
      </c>
      <c r="F219" s="9" t="s">
        <v>713</v>
      </c>
      <c r="G219" s="8" t="s">
        <v>50</v>
      </c>
      <c r="H219" s="12"/>
      <c r="I219" s="10">
        <v>13.461538461538462</v>
      </c>
      <c r="J219" s="8" t="s">
        <v>73</v>
      </c>
      <c r="K219" s="8" t="s">
        <v>600</v>
      </c>
      <c r="L219" s="8" t="s">
        <v>31</v>
      </c>
      <c r="M219" s="8" t="s">
        <v>271</v>
      </c>
      <c r="N219" s="13" t="str">
        <f>HYPERLINK("http://slimages.macys.com/is/image/MCY/8694996 ")</f>
        <v xml:space="preserve">http://slimages.macys.com/is/image/MCY/8694996 </v>
      </c>
    </row>
    <row r="220" spans="1:14" ht="48" x14ac:dyDescent="0.25">
      <c r="A220" s="12" t="s">
        <v>714</v>
      </c>
      <c r="B220" s="8" t="s">
        <v>715</v>
      </c>
      <c r="C220" s="9">
        <v>1</v>
      </c>
      <c r="D220" s="10">
        <v>25</v>
      </c>
      <c r="E220" s="10">
        <v>39.99</v>
      </c>
      <c r="F220" s="9">
        <v>5174100</v>
      </c>
      <c r="G220" s="8" t="s">
        <v>50</v>
      </c>
      <c r="H220" s="12" t="s">
        <v>334</v>
      </c>
      <c r="I220" s="10">
        <v>13.461538461538462</v>
      </c>
      <c r="J220" s="8" t="s">
        <v>262</v>
      </c>
      <c r="K220" s="8" t="s">
        <v>139</v>
      </c>
      <c r="L220" s="8" t="s">
        <v>31</v>
      </c>
      <c r="M220" s="8" t="s">
        <v>54</v>
      </c>
      <c r="N220" s="13" t="str">
        <f>HYPERLINK("http://slimages.macys.com/is/image/MCY/8407826 ")</f>
        <v xml:space="preserve">http://slimages.macys.com/is/image/MCY/8407826 </v>
      </c>
    </row>
    <row r="221" spans="1:14" ht="48" x14ac:dyDescent="0.25">
      <c r="A221" s="12" t="s">
        <v>716</v>
      </c>
      <c r="B221" s="8" t="s">
        <v>717</v>
      </c>
      <c r="C221" s="9">
        <v>1</v>
      </c>
      <c r="D221" s="10">
        <v>25</v>
      </c>
      <c r="E221" s="10">
        <v>49.99</v>
      </c>
      <c r="F221" s="9" t="s">
        <v>718</v>
      </c>
      <c r="G221" s="8" t="s">
        <v>35</v>
      </c>
      <c r="H221" s="12"/>
      <c r="I221" s="10">
        <v>13.461538461538462</v>
      </c>
      <c r="J221" s="8" t="s">
        <v>313</v>
      </c>
      <c r="K221" s="8" t="s">
        <v>420</v>
      </c>
      <c r="L221" s="8" t="s">
        <v>31</v>
      </c>
      <c r="M221" s="8" t="s">
        <v>430</v>
      </c>
      <c r="N221" s="13" t="str">
        <f>HYPERLINK("http://slimages.macys.com/is/image/MCY/16260400 ")</f>
        <v xml:space="preserve">http://slimages.macys.com/is/image/MCY/16260400 </v>
      </c>
    </row>
    <row r="222" spans="1:14" ht="48" x14ac:dyDescent="0.25">
      <c r="A222" s="12" t="s">
        <v>719</v>
      </c>
      <c r="B222" s="8" t="s">
        <v>720</v>
      </c>
      <c r="C222" s="9">
        <v>2</v>
      </c>
      <c r="D222" s="10">
        <v>25</v>
      </c>
      <c r="E222" s="10">
        <v>49.99</v>
      </c>
      <c r="F222" s="9" t="s">
        <v>721</v>
      </c>
      <c r="G222" s="8" t="s">
        <v>50</v>
      </c>
      <c r="H222" s="12"/>
      <c r="I222" s="10">
        <v>13.461538461538462</v>
      </c>
      <c r="J222" s="8" t="s">
        <v>262</v>
      </c>
      <c r="K222" s="8" t="s">
        <v>86</v>
      </c>
      <c r="L222" s="8" t="s">
        <v>31</v>
      </c>
      <c r="M222" s="8" t="s">
        <v>722</v>
      </c>
      <c r="N222" s="13" t="str">
        <f>HYPERLINK("http://slimages.macys.com/is/image/MCY/2239848 ")</f>
        <v xml:space="preserve">http://slimages.macys.com/is/image/MCY/2239848 </v>
      </c>
    </row>
    <row r="223" spans="1:14" ht="48" x14ac:dyDescent="0.25">
      <c r="A223" s="12" t="s">
        <v>702</v>
      </c>
      <c r="B223" s="8" t="s">
        <v>703</v>
      </c>
      <c r="C223" s="9">
        <v>1</v>
      </c>
      <c r="D223" s="10">
        <v>25</v>
      </c>
      <c r="E223" s="10">
        <v>49.99</v>
      </c>
      <c r="F223" s="9" t="s">
        <v>704</v>
      </c>
      <c r="G223" s="8" t="s">
        <v>50</v>
      </c>
      <c r="H223" s="12" t="s">
        <v>174</v>
      </c>
      <c r="I223" s="10">
        <v>13.461538461538462</v>
      </c>
      <c r="J223" s="8" t="s">
        <v>254</v>
      </c>
      <c r="K223" s="8" t="s">
        <v>68</v>
      </c>
      <c r="L223" s="8"/>
      <c r="M223" s="8" t="s">
        <v>271</v>
      </c>
      <c r="N223" s="13" t="str">
        <f>HYPERLINK("http://slimages.macys.com/is/image/MCY/1834199 ")</f>
        <v xml:space="preserve">http://slimages.macys.com/is/image/MCY/1834199 </v>
      </c>
    </row>
    <row r="224" spans="1:14" ht="48" x14ac:dyDescent="0.25">
      <c r="A224" s="12" t="s">
        <v>711</v>
      </c>
      <c r="B224" s="8" t="s">
        <v>712</v>
      </c>
      <c r="C224" s="9">
        <v>1</v>
      </c>
      <c r="D224" s="10">
        <v>25</v>
      </c>
      <c r="E224" s="10">
        <v>50</v>
      </c>
      <c r="F224" s="9" t="s">
        <v>713</v>
      </c>
      <c r="G224" s="8" t="s">
        <v>50</v>
      </c>
      <c r="H224" s="12"/>
      <c r="I224" s="10">
        <v>13.461538461538462</v>
      </c>
      <c r="J224" s="8" t="s">
        <v>73</v>
      </c>
      <c r="K224" s="8" t="s">
        <v>600</v>
      </c>
      <c r="L224" s="8" t="s">
        <v>31</v>
      </c>
      <c r="M224" s="8" t="s">
        <v>271</v>
      </c>
      <c r="N224" s="13" t="str">
        <f>HYPERLINK("http://slimages.macys.com/is/image/MCY/8694996 ")</f>
        <v xml:space="preserve">http://slimages.macys.com/is/image/MCY/8694996 </v>
      </c>
    </row>
    <row r="225" spans="1:14" ht="60" x14ac:dyDescent="0.25">
      <c r="A225" s="12" t="s">
        <v>723</v>
      </c>
      <c r="B225" s="8" t="s">
        <v>724</v>
      </c>
      <c r="C225" s="9">
        <v>1</v>
      </c>
      <c r="D225" s="10">
        <v>24.96</v>
      </c>
      <c r="E225" s="10">
        <v>52</v>
      </c>
      <c r="F225" s="9" t="s">
        <v>725</v>
      </c>
      <c r="G225" s="8" t="s">
        <v>50</v>
      </c>
      <c r="H225" s="12" t="s">
        <v>115</v>
      </c>
      <c r="I225" s="10">
        <v>13.440000000000001</v>
      </c>
      <c r="J225" s="8" t="s">
        <v>73</v>
      </c>
      <c r="K225" s="8" t="s">
        <v>726</v>
      </c>
      <c r="L225" s="8" t="s">
        <v>286</v>
      </c>
      <c r="M225" s="8" t="s">
        <v>485</v>
      </c>
      <c r="N225" s="13" t="str">
        <f>HYPERLINK("http://images.bloomingdales.com/is/image/BLM/11972506 ")</f>
        <v xml:space="preserve">http://images.bloomingdales.com/is/image/BLM/11972506 </v>
      </c>
    </row>
    <row r="226" spans="1:14" ht="48" x14ac:dyDescent="0.25">
      <c r="A226" s="12" t="s">
        <v>727</v>
      </c>
      <c r="B226" s="8" t="s">
        <v>728</v>
      </c>
      <c r="C226" s="9">
        <v>1</v>
      </c>
      <c r="D226" s="10">
        <v>24.94</v>
      </c>
      <c r="E226" s="10">
        <v>57.99</v>
      </c>
      <c r="F226" s="9">
        <v>12464601</v>
      </c>
      <c r="G226" s="8"/>
      <c r="H226" s="12" t="s">
        <v>729</v>
      </c>
      <c r="I226" s="10">
        <v>13.429230769230768</v>
      </c>
      <c r="J226" s="8" t="s">
        <v>313</v>
      </c>
      <c r="K226" s="8" t="s">
        <v>730</v>
      </c>
      <c r="L226" s="8"/>
      <c r="M226" s="8"/>
      <c r="N226" s="13" t="str">
        <f>HYPERLINK("http://slimages.macys.com/is/image/MCY/18837871 ")</f>
        <v xml:space="preserve">http://slimages.macys.com/is/image/MCY/18837871 </v>
      </c>
    </row>
    <row r="227" spans="1:14" ht="60" x14ac:dyDescent="0.25">
      <c r="A227" s="12" t="s">
        <v>731</v>
      </c>
      <c r="B227" s="8" t="s">
        <v>732</v>
      </c>
      <c r="C227" s="9">
        <v>1</v>
      </c>
      <c r="D227" s="10">
        <v>24.25</v>
      </c>
      <c r="E227" s="10">
        <v>50.99</v>
      </c>
      <c r="F227" s="9" t="s">
        <v>733</v>
      </c>
      <c r="G227" s="8" t="s">
        <v>153</v>
      </c>
      <c r="H227" s="12" t="s">
        <v>46</v>
      </c>
      <c r="I227" s="10">
        <v>13.057692307692308</v>
      </c>
      <c r="J227" s="8" t="s">
        <v>29</v>
      </c>
      <c r="K227" s="8" t="s">
        <v>553</v>
      </c>
      <c r="L227" s="8" t="s">
        <v>79</v>
      </c>
      <c r="M227" s="8" t="s">
        <v>554</v>
      </c>
      <c r="N227" s="13" t="str">
        <f>HYPERLINK("http://slimages.macys.com/is/image/MCY/12397263 ")</f>
        <v xml:space="preserve">http://slimages.macys.com/is/image/MCY/12397263 </v>
      </c>
    </row>
    <row r="228" spans="1:14" ht="48" x14ac:dyDescent="0.25">
      <c r="A228" s="12" t="s">
        <v>734</v>
      </c>
      <c r="B228" s="8" t="s">
        <v>735</v>
      </c>
      <c r="C228" s="9">
        <v>1</v>
      </c>
      <c r="D228" s="10">
        <v>24</v>
      </c>
      <c r="E228" s="10">
        <v>48</v>
      </c>
      <c r="F228" s="9">
        <v>119976</v>
      </c>
      <c r="G228" s="8" t="s">
        <v>50</v>
      </c>
      <c r="H228" s="12" t="s">
        <v>599</v>
      </c>
      <c r="I228" s="10">
        <v>12.923076923076923</v>
      </c>
      <c r="J228" s="8" t="s">
        <v>37</v>
      </c>
      <c r="K228" s="8" t="s">
        <v>53</v>
      </c>
      <c r="L228" s="8"/>
      <c r="M228" s="8"/>
      <c r="N228" s="13" t="str">
        <f>HYPERLINK("http://slimages.macys.com/is/image/MCY/293690 ")</f>
        <v xml:space="preserve">http://slimages.macys.com/is/image/MCY/293690 </v>
      </c>
    </row>
    <row r="229" spans="1:14" ht="48" x14ac:dyDescent="0.25">
      <c r="A229" s="12" t="s">
        <v>736</v>
      </c>
      <c r="B229" s="8" t="s">
        <v>737</v>
      </c>
      <c r="C229" s="9">
        <v>1</v>
      </c>
      <c r="D229" s="10">
        <v>23.5</v>
      </c>
      <c r="E229" s="10">
        <v>55.99</v>
      </c>
      <c r="F229" s="9" t="s">
        <v>738</v>
      </c>
      <c r="G229" s="8"/>
      <c r="H229" s="12" t="s">
        <v>46</v>
      </c>
      <c r="I229" s="10">
        <v>12.653846153846153</v>
      </c>
      <c r="J229" s="8" t="s">
        <v>29</v>
      </c>
      <c r="K229" s="8" t="s">
        <v>739</v>
      </c>
      <c r="L229" s="8" t="s">
        <v>87</v>
      </c>
      <c r="M229" s="8" t="s">
        <v>186</v>
      </c>
      <c r="N229" s="13" t="str">
        <f>HYPERLINK("http://slimages.macys.com/is/image/MCY/12272480 ")</f>
        <v xml:space="preserve">http://slimages.macys.com/is/image/MCY/12272480 </v>
      </c>
    </row>
    <row r="230" spans="1:14" ht="48" x14ac:dyDescent="0.25">
      <c r="A230" s="12" t="s">
        <v>740</v>
      </c>
      <c r="B230" s="8" t="s">
        <v>741</v>
      </c>
      <c r="C230" s="9">
        <v>1</v>
      </c>
      <c r="D230" s="10">
        <v>23.2</v>
      </c>
      <c r="E230" s="10">
        <v>66.989999999999995</v>
      </c>
      <c r="F230" s="9" t="s">
        <v>742</v>
      </c>
      <c r="G230" s="8" t="s">
        <v>475</v>
      </c>
      <c r="H230" s="12" t="s">
        <v>46</v>
      </c>
      <c r="I230" s="10">
        <v>12.492307692307691</v>
      </c>
      <c r="J230" s="8" t="s">
        <v>29</v>
      </c>
      <c r="K230" s="8" t="s">
        <v>743</v>
      </c>
      <c r="L230" s="8" t="s">
        <v>31</v>
      </c>
      <c r="M230" s="8" t="s">
        <v>471</v>
      </c>
      <c r="N230" s="13" t="str">
        <f>HYPERLINK("http://slimages.macys.com/is/image/MCY/11658548 ")</f>
        <v xml:space="preserve">http://slimages.macys.com/is/image/MCY/11658548 </v>
      </c>
    </row>
    <row r="231" spans="1:14" ht="48" x14ac:dyDescent="0.25">
      <c r="A231" s="12" t="s">
        <v>744</v>
      </c>
      <c r="B231" s="8" t="s">
        <v>745</v>
      </c>
      <c r="C231" s="9">
        <v>2</v>
      </c>
      <c r="D231" s="10">
        <v>23.02</v>
      </c>
      <c r="E231" s="10">
        <v>29.99</v>
      </c>
      <c r="F231" s="9" t="s">
        <v>746</v>
      </c>
      <c r="G231" s="8" t="s">
        <v>475</v>
      </c>
      <c r="H231" s="12" t="s">
        <v>433</v>
      </c>
      <c r="I231" s="10">
        <v>12.395384615384616</v>
      </c>
      <c r="J231" s="8" t="s">
        <v>262</v>
      </c>
      <c r="K231" s="8" t="s">
        <v>747</v>
      </c>
      <c r="L231" s="8" t="s">
        <v>31</v>
      </c>
      <c r="M231" s="8" t="s">
        <v>80</v>
      </c>
      <c r="N231" s="13" t="str">
        <f>HYPERLINK("http://slimages.macys.com/is/image/MCY/10536841 ")</f>
        <v xml:space="preserve">http://slimages.macys.com/is/image/MCY/10536841 </v>
      </c>
    </row>
    <row r="232" spans="1:14" ht="48" x14ac:dyDescent="0.25">
      <c r="A232" s="12" t="s">
        <v>748</v>
      </c>
      <c r="B232" s="8" t="s">
        <v>749</v>
      </c>
      <c r="C232" s="9">
        <v>1</v>
      </c>
      <c r="D232" s="10">
        <v>23</v>
      </c>
      <c r="E232" s="10">
        <v>45.99</v>
      </c>
      <c r="F232" s="9" t="s">
        <v>750</v>
      </c>
      <c r="G232" s="8" t="s">
        <v>153</v>
      </c>
      <c r="H232" s="12" t="s">
        <v>46</v>
      </c>
      <c r="I232" s="10">
        <v>12.384615384615385</v>
      </c>
      <c r="J232" s="8" t="s">
        <v>29</v>
      </c>
      <c r="K232" s="8" t="s">
        <v>154</v>
      </c>
      <c r="L232" s="8" t="s">
        <v>79</v>
      </c>
      <c r="M232" s="8" t="s">
        <v>751</v>
      </c>
      <c r="N232" s="13" t="str">
        <f>HYPERLINK("http://slimages.macys.com/is/image/MCY/14645292 ")</f>
        <v xml:space="preserve">http://slimages.macys.com/is/image/MCY/14645292 </v>
      </c>
    </row>
    <row r="233" spans="1:14" ht="84" x14ac:dyDescent="0.25">
      <c r="A233" s="12" t="s">
        <v>752</v>
      </c>
      <c r="B233" s="8" t="s">
        <v>753</v>
      </c>
      <c r="C233" s="9">
        <v>1</v>
      </c>
      <c r="D233" s="10">
        <v>23</v>
      </c>
      <c r="E233" s="10">
        <v>60.99</v>
      </c>
      <c r="F233" s="9" t="s">
        <v>754</v>
      </c>
      <c r="G233" s="8" t="s">
        <v>454</v>
      </c>
      <c r="H233" s="12" t="s">
        <v>46</v>
      </c>
      <c r="I233" s="10">
        <v>12.384615384615385</v>
      </c>
      <c r="J233" s="8" t="s">
        <v>29</v>
      </c>
      <c r="K233" s="8" t="s">
        <v>755</v>
      </c>
      <c r="L233" s="8" t="s">
        <v>31</v>
      </c>
      <c r="M233" s="8" t="s">
        <v>756</v>
      </c>
      <c r="N233" s="13" t="str">
        <f>HYPERLINK("http://slimages.macys.com/is/image/MCY/9717064 ")</f>
        <v xml:space="preserve">http://slimages.macys.com/is/image/MCY/9717064 </v>
      </c>
    </row>
    <row r="234" spans="1:14" ht="60" x14ac:dyDescent="0.25">
      <c r="A234" s="12" t="s">
        <v>757</v>
      </c>
      <c r="B234" s="8" t="s">
        <v>758</v>
      </c>
      <c r="C234" s="9">
        <v>1</v>
      </c>
      <c r="D234" s="10">
        <v>23</v>
      </c>
      <c r="E234" s="10">
        <v>50.99</v>
      </c>
      <c r="F234" s="9">
        <v>260160</v>
      </c>
      <c r="G234" s="8" t="s">
        <v>50</v>
      </c>
      <c r="H234" s="12" t="s">
        <v>46</v>
      </c>
      <c r="I234" s="10">
        <v>12.384615384615385</v>
      </c>
      <c r="J234" s="8" t="s">
        <v>262</v>
      </c>
      <c r="K234" s="8" t="s">
        <v>47</v>
      </c>
      <c r="L234" s="8" t="s">
        <v>31</v>
      </c>
      <c r="M234" s="8" t="s">
        <v>533</v>
      </c>
      <c r="N234" s="13" t="str">
        <f>HYPERLINK("http://slimages.macys.com/is/image/MCY/13076797 ")</f>
        <v xml:space="preserve">http://slimages.macys.com/is/image/MCY/13076797 </v>
      </c>
    </row>
    <row r="235" spans="1:14" ht="48" x14ac:dyDescent="0.25">
      <c r="A235" s="12" t="s">
        <v>759</v>
      </c>
      <c r="B235" s="8" t="s">
        <v>760</v>
      </c>
      <c r="C235" s="9">
        <v>4</v>
      </c>
      <c r="D235" s="10">
        <v>22.51</v>
      </c>
      <c r="E235" s="10">
        <v>27.96</v>
      </c>
      <c r="F235" s="9" t="s">
        <v>761</v>
      </c>
      <c r="G235" s="8" t="s">
        <v>50</v>
      </c>
      <c r="H235" s="12" t="s">
        <v>665</v>
      </c>
      <c r="I235" s="10">
        <v>12.120769230769231</v>
      </c>
      <c r="J235" s="8" t="s">
        <v>254</v>
      </c>
      <c r="K235" s="8" t="s">
        <v>139</v>
      </c>
      <c r="L235" s="8" t="s">
        <v>31</v>
      </c>
      <c r="M235" s="8" t="s">
        <v>271</v>
      </c>
      <c r="N235" s="13" t="str">
        <f>HYPERLINK("http://slimages.macys.com/is/image/MCY/1690752 ")</f>
        <v xml:space="preserve">http://slimages.macys.com/is/image/MCY/1690752 </v>
      </c>
    </row>
    <row r="236" spans="1:14" ht="60" x14ac:dyDescent="0.25">
      <c r="A236" s="12" t="s">
        <v>762</v>
      </c>
      <c r="B236" s="8" t="s">
        <v>763</v>
      </c>
      <c r="C236" s="9">
        <v>1</v>
      </c>
      <c r="D236" s="10">
        <v>22.5</v>
      </c>
      <c r="E236" s="10">
        <v>44.99</v>
      </c>
      <c r="F236" s="9">
        <v>37818214</v>
      </c>
      <c r="G236" s="8" t="s">
        <v>50</v>
      </c>
      <c r="H236" s="12"/>
      <c r="I236" s="10">
        <v>12.115384615384615</v>
      </c>
      <c r="J236" s="8" t="s">
        <v>262</v>
      </c>
      <c r="K236" s="8" t="s">
        <v>512</v>
      </c>
      <c r="L236" s="8"/>
      <c r="M236" s="8"/>
      <c r="N236" s="13" t="str">
        <f>HYPERLINK("http://images.bloomingdales.com/is/image/BLM/8372915 ")</f>
        <v xml:space="preserve">http://images.bloomingdales.com/is/image/BLM/8372915 </v>
      </c>
    </row>
    <row r="237" spans="1:14" ht="48" x14ac:dyDescent="0.25">
      <c r="A237" s="12" t="s">
        <v>764</v>
      </c>
      <c r="B237" s="8" t="s">
        <v>765</v>
      </c>
      <c r="C237" s="9">
        <v>2</v>
      </c>
      <c r="D237" s="10">
        <v>22.5</v>
      </c>
      <c r="E237" s="10">
        <v>49</v>
      </c>
      <c r="F237" s="9">
        <v>175851</v>
      </c>
      <c r="G237" s="8" t="s">
        <v>50</v>
      </c>
      <c r="H237" s="12"/>
      <c r="I237" s="10">
        <v>12.115384615384615</v>
      </c>
      <c r="J237" s="8" t="s">
        <v>73</v>
      </c>
      <c r="K237" s="8" t="s">
        <v>74</v>
      </c>
      <c r="L237" s="8" t="s">
        <v>31</v>
      </c>
      <c r="M237" s="8" t="s">
        <v>766</v>
      </c>
      <c r="N237" s="13" t="str">
        <f>HYPERLINK("http://slimages.macys.com/is/image/MCY/1683127 ")</f>
        <v xml:space="preserve">http://slimages.macys.com/is/image/MCY/1683127 </v>
      </c>
    </row>
    <row r="238" spans="1:14" ht="48" x14ac:dyDescent="0.25">
      <c r="A238" s="12" t="s">
        <v>767</v>
      </c>
      <c r="B238" s="8" t="s">
        <v>768</v>
      </c>
      <c r="C238" s="9">
        <v>1</v>
      </c>
      <c r="D238" s="10">
        <v>22.5</v>
      </c>
      <c r="E238" s="10">
        <v>59.99</v>
      </c>
      <c r="F238" s="9" t="s">
        <v>769</v>
      </c>
      <c r="G238" s="8" t="s">
        <v>50</v>
      </c>
      <c r="H238" s="12" t="s">
        <v>46</v>
      </c>
      <c r="I238" s="10">
        <v>12.115384615384615</v>
      </c>
      <c r="J238" s="8" t="s">
        <v>29</v>
      </c>
      <c r="K238" s="8" t="s">
        <v>618</v>
      </c>
      <c r="L238" s="8"/>
      <c r="M238" s="8"/>
      <c r="N238" s="13" t="str">
        <f>HYPERLINK("http://slimages.macys.com/is/image/MCY/18747473 ")</f>
        <v xml:space="preserve">http://slimages.macys.com/is/image/MCY/18747473 </v>
      </c>
    </row>
    <row r="239" spans="1:14" ht="48" x14ac:dyDescent="0.25">
      <c r="A239" s="12" t="s">
        <v>770</v>
      </c>
      <c r="B239" s="8" t="s">
        <v>771</v>
      </c>
      <c r="C239" s="9">
        <v>1</v>
      </c>
      <c r="D239" s="10">
        <v>22.5</v>
      </c>
      <c r="E239" s="10">
        <v>54.99</v>
      </c>
      <c r="F239" s="9" t="s">
        <v>772</v>
      </c>
      <c r="G239" s="8" t="s">
        <v>773</v>
      </c>
      <c r="H239" s="12" t="s">
        <v>46</v>
      </c>
      <c r="I239" s="10">
        <v>12.115384615384615</v>
      </c>
      <c r="J239" s="8" t="s">
        <v>313</v>
      </c>
      <c r="K239" s="8" t="s">
        <v>648</v>
      </c>
      <c r="L239" s="8"/>
      <c r="M239" s="8"/>
      <c r="N239" s="13" t="str">
        <f>HYPERLINK("http://slimages.macys.com/is/image/MCY/17597736 ")</f>
        <v xml:space="preserve">http://slimages.macys.com/is/image/MCY/17597736 </v>
      </c>
    </row>
    <row r="240" spans="1:14" ht="48" x14ac:dyDescent="0.25">
      <c r="A240" s="12" t="s">
        <v>774</v>
      </c>
      <c r="B240" s="8" t="s">
        <v>775</v>
      </c>
      <c r="C240" s="9">
        <v>1</v>
      </c>
      <c r="D240" s="10">
        <v>22.5</v>
      </c>
      <c r="E240" s="10">
        <v>59.99</v>
      </c>
      <c r="F240" s="9" t="s">
        <v>776</v>
      </c>
      <c r="G240" s="8" t="s">
        <v>35</v>
      </c>
      <c r="H240" s="12" t="s">
        <v>46</v>
      </c>
      <c r="I240" s="10">
        <v>12.115384615384615</v>
      </c>
      <c r="J240" s="8" t="s">
        <v>29</v>
      </c>
      <c r="K240" s="8" t="s">
        <v>618</v>
      </c>
      <c r="L240" s="8"/>
      <c r="M240" s="8"/>
      <c r="N240" s="13" t="str">
        <f>HYPERLINK("http://slimages.macys.com/is/image/MCY/18747504 ")</f>
        <v xml:space="preserve">http://slimages.macys.com/is/image/MCY/18747504 </v>
      </c>
    </row>
    <row r="241" spans="1:14" ht="48" x14ac:dyDescent="0.25">
      <c r="A241" s="12" t="s">
        <v>767</v>
      </c>
      <c r="B241" s="8" t="s">
        <v>768</v>
      </c>
      <c r="C241" s="9">
        <v>1</v>
      </c>
      <c r="D241" s="10">
        <v>22.5</v>
      </c>
      <c r="E241" s="10">
        <v>59.99</v>
      </c>
      <c r="F241" s="9" t="s">
        <v>769</v>
      </c>
      <c r="G241" s="8" t="s">
        <v>50</v>
      </c>
      <c r="H241" s="12" t="s">
        <v>46</v>
      </c>
      <c r="I241" s="10">
        <v>12.115384615384615</v>
      </c>
      <c r="J241" s="8" t="s">
        <v>29</v>
      </c>
      <c r="K241" s="8" t="s">
        <v>618</v>
      </c>
      <c r="L241" s="8"/>
      <c r="M241" s="8"/>
      <c r="N241" s="13" t="str">
        <f>HYPERLINK("http://slimages.macys.com/is/image/MCY/18747473 ")</f>
        <v xml:space="preserve">http://slimages.macys.com/is/image/MCY/18747473 </v>
      </c>
    </row>
    <row r="242" spans="1:14" ht="48" x14ac:dyDescent="0.25">
      <c r="A242" s="12" t="s">
        <v>777</v>
      </c>
      <c r="B242" s="8" t="s">
        <v>778</v>
      </c>
      <c r="C242" s="9">
        <v>1</v>
      </c>
      <c r="D242" s="10">
        <v>22.5</v>
      </c>
      <c r="E242" s="10">
        <v>49.99</v>
      </c>
      <c r="F242" s="9" t="s">
        <v>779</v>
      </c>
      <c r="G242" s="8" t="s">
        <v>50</v>
      </c>
      <c r="H242" s="12" t="s">
        <v>46</v>
      </c>
      <c r="I242" s="10">
        <v>12.115384615384615</v>
      </c>
      <c r="J242" s="8" t="s">
        <v>313</v>
      </c>
      <c r="K242" s="8" t="s">
        <v>648</v>
      </c>
      <c r="L242" s="8" t="s">
        <v>31</v>
      </c>
      <c r="M242" s="8"/>
      <c r="N242" s="13" t="str">
        <f>HYPERLINK("http://slimages.macys.com/is/image/MCY/2901164 ")</f>
        <v xml:space="preserve">http://slimages.macys.com/is/image/MCY/2901164 </v>
      </c>
    </row>
    <row r="243" spans="1:14" ht="60" x14ac:dyDescent="0.25">
      <c r="A243" s="12" t="s">
        <v>780</v>
      </c>
      <c r="B243" s="8" t="s">
        <v>781</v>
      </c>
      <c r="C243" s="9">
        <v>1</v>
      </c>
      <c r="D243" s="10">
        <v>22.49</v>
      </c>
      <c r="E243" s="10">
        <v>49.99</v>
      </c>
      <c r="F243" s="9" t="s">
        <v>782</v>
      </c>
      <c r="G243" s="8" t="s">
        <v>207</v>
      </c>
      <c r="H243" s="12" t="s">
        <v>783</v>
      </c>
      <c r="I243" s="10">
        <v>12.11</v>
      </c>
      <c r="J243" s="8" t="s">
        <v>202</v>
      </c>
      <c r="K243" s="8" t="s">
        <v>203</v>
      </c>
      <c r="L243" s="8" t="s">
        <v>31</v>
      </c>
      <c r="M243" s="8" t="s">
        <v>784</v>
      </c>
      <c r="N243" s="13" t="str">
        <f>HYPERLINK("http://slimages.macys.com/is/image/MCY/8658074 ")</f>
        <v xml:space="preserve">http://slimages.macys.com/is/image/MCY/8658074 </v>
      </c>
    </row>
    <row r="244" spans="1:14" ht="48" x14ac:dyDescent="0.25">
      <c r="A244" s="12" t="s">
        <v>785</v>
      </c>
      <c r="B244" s="8" t="s">
        <v>786</v>
      </c>
      <c r="C244" s="9">
        <v>2</v>
      </c>
      <c r="D244" s="10">
        <v>22</v>
      </c>
      <c r="E244" s="10">
        <v>39.99</v>
      </c>
      <c r="F244" s="9">
        <v>746</v>
      </c>
      <c r="G244" s="8" t="s">
        <v>50</v>
      </c>
      <c r="H244" s="12" t="s">
        <v>46</v>
      </c>
      <c r="I244" s="10">
        <v>11.846153846153847</v>
      </c>
      <c r="J244" s="8" t="s">
        <v>29</v>
      </c>
      <c r="K244" s="8" t="s">
        <v>470</v>
      </c>
      <c r="L244" s="8" t="s">
        <v>31</v>
      </c>
      <c r="M244" s="8" t="s">
        <v>787</v>
      </c>
      <c r="N244" s="13" t="str">
        <f>HYPERLINK("http://slimages.macys.com/is/image/MCY/8357485 ")</f>
        <v xml:space="preserve">http://slimages.macys.com/is/image/MCY/8357485 </v>
      </c>
    </row>
    <row r="245" spans="1:14" ht="60" x14ac:dyDescent="0.25">
      <c r="A245" s="12" t="s">
        <v>788</v>
      </c>
      <c r="B245" s="8" t="s">
        <v>789</v>
      </c>
      <c r="C245" s="9">
        <v>1</v>
      </c>
      <c r="D245" s="10">
        <v>22</v>
      </c>
      <c r="E245" s="10">
        <v>48.99</v>
      </c>
      <c r="F245" s="9">
        <v>256160</v>
      </c>
      <c r="G245" s="8" t="s">
        <v>50</v>
      </c>
      <c r="H245" s="12" t="s">
        <v>46</v>
      </c>
      <c r="I245" s="10">
        <v>11.846153846153847</v>
      </c>
      <c r="J245" s="8" t="s">
        <v>262</v>
      </c>
      <c r="K245" s="8" t="s">
        <v>47</v>
      </c>
      <c r="L245" s="8" t="s">
        <v>31</v>
      </c>
      <c r="M245" s="8" t="s">
        <v>533</v>
      </c>
      <c r="N245" s="13" t="str">
        <f>HYPERLINK("http://slimages.macys.com/is/image/MCY/13076860 ")</f>
        <v xml:space="preserve">http://slimages.macys.com/is/image/MCY/13076860 </v>
      </c>
    </row>
    <row r="246" spans="1:14" ht="48" x14ac:dyDescent="0.25">
      <c r="A246" s="12" t="s">
        <v>790</v>
      </c>
      <c r="B246" s="8" t="s">
        <v>791</v>
      </c>
      <c r="C246" s="9">
        <v>1</v>
      </c>
      <c r="D246" s="10">
        <v>22</v>
      </c>
      <c r="E246" s="10">
        <v>32.99</v>
      </c>
      <c r="F246" s="9" t="s">
        <v>792</v>
      </c>
      <c r="G246" s="8" t="s">
        <v>793</v>
      </c>
      <c r="H246" s="12" t="s">
        <v>46</v>
      </c>
      <c r="I246" s="10">
        <v>11.846153846153847</v>
      </c>
      <c r="J246" s="8" t="s">
        <v>29</v>
      </c>
      <c r="K246" s="8" t="s">
        <v>226</v>
      </c>
      <c r="L246" s="8" t="s">
        <v>31</v>
      </c>
      <c r="M246" s="8" t="s">
        <v>426</v>
      </c>
      <c r="N246" s="13" t="str">
        <f>HYPERLINK("http://slimages.macys.com/is/image/MCY/3611692 ")</f>
        <v xml:space="preserve">http://slimages.macys.com/is/image/MCY/3611692 </v>
      </c>
    </row>
    <row r="247" spans="1:14" ht="48" x14ac:dyDescent="0.25">
      <c r="A247" s="12" t="s">
        <v>794</v>
      </c>
      <c r="B247" s="8" t="s">
        <v>795</v>
      </c>
      <c r="C247" s="9">
        <v>4</v>
      </c>
      <c r="D247" s="10">
        <v>22</v>
      </c>
      <c r="E247" s="10">
        <v>40.99</v>
      </c>
      <c r="F247" s="9" t="s">
        <v>796</v>
      </c>
      <c r="G247" s="8" t="s">
        <v>45</v>
      </c>
      <c r="H247" s="12" t="s">
        <v>46</v>
      </c>
      <c r="I247" s="10">
        <v>11.846153846153847</v>
      </c>
      <c r="J247" s="8" t="s">
        <v>313</v>
      </c>
      <c r="K247" s="8" t="s">
        <v>797</v>
      </c>
      <c r="L247" s="8" t="s">
        <v>31</v>
      </c>
      <c r="M247" s="8" t="s">
        <v>798</v>
      </c>
      <c r="N247" s="13" t="str">
        <f>HYPERLINK("http://slimages.macys.com/is/image/MCY/12786082 ")</f>
        <v xml:space="preserve">http://slimages.macys.com/is/image/MCY/12786082 </v>
      </c>
    </row>
    <row r="248" spans="1:14" ht="48" x14ac:dyDescent="0.25">
      <c r="A248" s="12" t="s">
        <v>799</v>
      </c>
      <c r="B248" s="8" t="s">
        <v>800</v>
      </c>
      <c r="C248" s="9">
        <v>1</v>
      </c>
      <c r="D248" s="10">
        <v>22</v>
      </c>
      <c r="E248" s="10">
        <v>39.99</v>
      </c>
      <c r="F248" s="9" t="s">
        <v>801</v>
      </c>
      <c r="G248" s="8" t="s">
        <v>50</v>
      </c>
      <c r="H248" s="12" t="s">
        <v>246</v>
      </c>
      <c r="I248" s="10">
        <v>11.846153846153847</v>
      </c>
      <c r="J248" s="8" t="s">
        <v>95</v>
      </c>
      <c r="K248" s="8" t="s">
        <v>237</v>
      </c>
      <c r="L248" s="8" t="s">
        <v>31</v>
      </c>
      <c r="M248" s="8" t="s">
        <v>802</v>
      </c>
      <c r="N248" s="13" t="str">
        <f>HYPERLINK("http://slimages.macys.com/is/image/MCY/13861789 ")</f>
        <v xml:space="preserve">http://slimages.macys.com/is/image/MCY/13861789 </v>
      </c>
    </row>
    <row r="249" spans="1:14" ht="48" x14ac:dyDescent="0.25">
      <c r="A249" s="12" t="s">
        <v>803</v>
      </c>
      <c r="B249" s="8" t="s">
        <v>804</v>
      </c>
      <c r="C249" s="9">
        <v>1</v>
      </c>
      <c r="D249" s="10">
        <v>21.99</v>
      </c>
      <c r="E249" s="10">
        <v>43.99</v>
      </c>
      <c r="F249" s="9">
        <v>303216</v>
      </c>
      <c r="G249" s="8" t="s">
        <v>50</v>
      </c>
      <c r="H249" s="12" t="s">
        <v>46</v>
      </c>
      <c r="I249" s="10">
        <v>11.840769230769231</v>
      </c>
      <c r="J249" s="8" t="s">
        <v>262</v>
      </c>
      <c r="K249" s="8" t="s">
        <v>805</v>
      </c>
      <c r="L249" s="8" t="s">
        <v>31</v>
      </c>
      <c r="M249" s="8" t="s">
        <v>80</v>
      </c>
      <c r="N249" s="13" t="str">
        <f>HYPERLINK("http://slimages.macys.com/is/image/MCY/14339398 ")</f>
        <v xml:space="preserve">http://slimages.macys.com/is/image/MCY/14339398 </v>
      </c>
    </row>
    <row r="250" spans="1:14" ht="48" x14ac:dyDescent="0.25">
      <c r="A250" s="12" t="s">
        <v>806</v>
      </c>
      <c r="B250" s="8" t="s">
        <v>807</v>
      </c>
      <c r="C250" s="9">
        <v>1</v>
      </c>
      <c r="D250" s="10">
        <v>21.68</v>
      </c>
      <c r="E250" s="10">
        <v>60</v>
      </c>
      <c r="F250" s="9">
        <v>7471</v>
      </c>
      <c r="G250" s="8" t="s">
        <v>137</v>
      </c>
      <c r="H250" s="12" t="s">
        <v>266</v>
      </c>
      <c r="I250" s="10">
        <v>11.673846153846153</v>
      </c>
      <c r="J250" s="8" t="s">
        <v>138</v>
      </c>
      <c r="K250" s="8" t="s">
        <v>808</v>
      </c>
      <c r="L250" s="8"/>
      <c r="M250" s="8" t="s">
        <v>460</v>
      </c>
      <c r="N250" s="13" t="str">
        <f>HYPERLINK("http://slimages.macys.com/is/image/MCY/487498 ")</f>
        <v xml:space="preserve">http://slimages.macys.com/is/image/MCY/487498 </v>
      </c>
    </row>
    <row r="251" spans="1:14" ht="48" x14ac:dyDescent="0.25">
      <c r="A251" s="12" t="s">
        <v>809</v>
      </c>
      <c r="B251" s="8" t="s">
        <v>810</v>
      </c>
      <c r="C251" s="9">
        <v>1</v>
      </c>
      <c r="D251" s="10">
        <v>21.38</v>
      </c>
      <c r="E251" s="10">
        <v>90</v>
      </c>
      <c r="F251" s="9">
        <v>41727525</v>
      </c>
      <c r="G251" s="8" t="s">
        <v>50</v>
      </c>
      <c r="H251" s="12"/>
      <c r="I251" s="10">
        <v>11.512307692307692</v>
      </c>
      <c r="J251" s="8" t="s">
        <v>811</v>
      </c>
      <c r="K251" s="8" t="s">
        <v>812</v>
      </c>
      <c r="L251" s="8" t="s">
        <v>31</v>
      </c>
      <c r="M251" s="8" t="s">
        <v>813</v>
      </c>
      <c r="N251" s="13" t="str">
        <f>HYPERLINK("http://slimages.macys.com/is/image/MCY/3947886 ")</f>
        <v xml:space="preserve">http://slimages.macys.com/is/image/MCY/3947886 </v>
      </c>
    </row>
    <row r="252" spans="1:14" ht="48" x14ac:dyDescent="0.25">
      <c r="A252" s="12" t="s">
        <v>814</v>
      </c>
      <c r="B252" s="8" t="s">
        <v>815</v>
      </c>
      <c r="C252" s="9">
        <v>1</v>
      </c>
      <c r="D252" s="10">
        <v>21</v>
      </c>
      <c r="E252" s="10">
        <v>44.99</v>
      </c>
      <c r="F252" s="9" t="s">
        <v>816</v>
      </c>
      <c r="G252" s="8" t="s">
        <v>35</v>
      </c>
      <c r="H252" s="12" t="s">
        <v>46</v>
      </c>
      <c r="I252" s="10">
        <v>11.307692307692307</v>
      </c>
      <c r="J252" s="8" t="s">
        <v>313</v>
      </c>
      <c r="K252" s="8" t="s">
        <v>648</v>
      </c>
      <c r="L252" s="8"/>
      <c r="M252" s="8"/>
      <c r="N252" s="13" t="str">
        <f>HYPERLINK("http://slimages.macys.com/is/image/MCY/18519111 ")</f>
        <v xml:space="preserve">http://slimages.macys.com/is/image/MCY/18519111 </v>
      </c>
    </row>
    <row r="253" spans="1:14" ht="48" x14ac:dyDescent="0.25">
      <c r="A253" s="12" t="s">
        <v>817</v>
      </c>
      <c r="B253" s="8" t="s">
        <v>818</v>
      </c>
      <c r="C253" s="9">
        <v>1</v>
      </c>
      <c r="D253" s="10">
        <v>20.94</v>
      </c>
      <c r="E253" s="10">
        <v>44.99</v>
      </c>
      <c r="F253" s="9">
        <v>5288908</v>
      </c>
      <c r="G253" s="8" t="s">
        <v>133</v>
      </c>
      <c r="H253" s="12" t="s">
        <v>46</v>
      </c>
      <c r="I253" s="10">
        <v>11.275384615384615</v>
      </c>
      <c r="J253" s="8" t="s">
        <v>313</v>
      </c>
      <c r="K253" s="8" t="s">
        <v>139</v>
      </c>
      <c r="L253" s="8"/>
      <c r="M253" s="8"/>
      <c r="N253" s="13" t="str">
        <f>HYPERLINK("http://slimages.macys.com/is/image/MCY/20694800 ")</f>
        <v xml:space="preserve">http://slimages.macys.com/is/image/MCY/20694800 </v>
      </c>
    </row>
    <row r="254" spans="1:14" ht="48" x14ac:dyDescent="0.25">
      <c r="A254" s="12" t="s">
        <v>819</v>
      </c>
      <c r="B254" s="8" t="s">
        <v>820</v>
      </c>
      <c r="C254" s="9">
        <v>1</v>
      </c>
      <c r="D254" s="10">
        <v>20.94</v>
      </c>
      <c r="E254" s="10">
        <v>44.99</v>
      </c>
      <c r="F254" s="9">
        <v>5288909</v>
      </c>
      <c r="G254" s="8" t="s">
        <v>133</v>
      </c>
      <c r="H254" s="12" t="s">
        <v>46</v>
      </c>
      <c r="I254" s="10">
        <v>11.275384615384615</v>
      </c>
      <c r="J254" s="8" t="s">
        <v>313</v>
      </c>
      <c r="K254" s="8" t="s">
        <v>139</v>
      </c>
      <c r="L254" s="8"/>
      <c r="M254" s="8"/>
      <c r="N254" s="13" t="str">
        <f>HYPERLINK("http://slimages.macys.com/is/image/MCY/20818707 ")</f>
        <v xml:space="preserve">http://slimages.macys.com/is/image/MCY/20818707 </v>
      </c>
    </row>
    <row r="255" spans="1:14" ht="48" x14ac:dyDescent="0.25">
      <c r="A255" s="12" t="s">
        <v>817</v>
      </c>
      <c r="B255" s="8" t="s">
        <v>818</v>
      </c>
      <c r="C255" s="9">
        <v>3</v>
      </c>
      <c r="D255" s="10">
        <v>20.94</v>
      </c>
      <c r="E255" s="10">
        <v>44.99</v>
      </c>
      <c r="F255" s="9">
        <v>5288908</v>
      </c>
      <c r="G255" s="8" t="s">
        <v>133</v>
      </c>
      <c r="H255" s="12" t="s">
        <v>46</v>
      </c>
      <c r="I255" s="10">
        <v>11.275384615384615</v>
      </c>
      <c r="J255" s="8" t="s">
        <v>313</v>
      </c>
      <c r="K255" s="8" t="s">
        <v>139</v>
      </c>
      <c r="L255" s="8"/>
      <c r="M255" s="8"/>
      <c r="N255" s="13" t="str">
        <f>HYPERLINK("http://slimages.macys.com/is/image/MCY/20694800 ")</f>
        <v xml:space="preserve">http://slimages.macys.com/is/image/MCY/20694800 </v>
      </c>
    </row>
    <row r="256" spans="1:14" ht="48" x14ac:dyDescent="0.25">
      <c r="A256" s="12" t="s">
        <v>819</v>
      </c>
      <c r="B256" s="8" t="s">
        <v>820</v>
      </c>
      <c r="C256" s="9">
        <v>3</v>
      </c>
      <c r="D256" s="10">
        <v>20.94</v>
      </c>
      <c r="E256" s="10">
        <v>44.99</v>
      </c>
      <c r="F256" s="9">
        <v>5288909</v>
      </c>
      <c r="G256" s="8" t="s">
        <v>133</v>
      </c>
      <c r="H256" s="12" t="s">
        <v>46</v>
      </c>
      <c r="I256" s="10">
        <v>11.275384615384615</v>
      </c>
      <c r="J256" s="8" t="s">
        <v>313</v>
      </c>
      <c r="K256" s="8" t="s">
        <v>139</v>
      </c>
      <c r="L256" s="8"/>
      <c r="M256" s="8"/>
      <c r="N256" s="13" t="str">
        <f>HYPERLINK("http://slimages.macys.com/is/image/MCY/20818707 ")</f>
        <v xml:space="preserve">http://slimages.macys.com/is/image/MCY/20818707 </v>
      </c>
    </row>
    <row r="257" spans="1:14" ht="48" x14ac:dyDescent="0.25">
      <c r="A257" s="12" t="s">
        <v>821</v>
      </c>
      <c r="B257" s="8" t="s">
        <v>822</v>
      </c>
      <c r="C257" s="9">
        <v>1</v>
      </c>
      <c r="D257" s="10">
        <v>20.94</v>
      </c>
      <c r="E257" s="10">
        <v>22.95</v>
      </c>
      <c r="F257" s="9" t="s">
        <v>823</v>
      </c>
      <c r="G257" s="8" t="s">
        <v>50</v>
      </c>
      <c r="H257" s="12" t="s">
        <v>824</v>
      </c>
      <c r="I257" s="10">
        <v>11.275384615384615</v>
      </c>
      <c r="J257" s="8" t="s">
        <v>254</v>
      </c>
      <c r="K257" s="8" t="s">
        <v>139</v>
      </c>
      <c r="L257" s="8"/>
      <c r="M257" s="8" t="s">
        <v>271</v>
      </c>
      <c r="N257" s="13" t="str">
        <f>HYPERLINK("http://slimages.macys.com/is/image/MCY/913993 ")</f>
        <v xml:space="preserve">http://slimages.macys.com/is/image/MCY/913993 </v>
      </c>
    </row>
    <row r="258" spans="1:14" ht="48" x14ac:dyDescent="0.25">
      <c r="A258" s="12" t="s">
        <v>819</v>
      </c>
      <c r="B258" s="8" t="s">
        <v>820</v>
      </c>
      <c r="C258" s="9">
        <v>1</v>
      </c>
      <c r="D258" s="10">
        <v>20.94</v>
      </c>
      <c r="E258" s="10">
        <v>44.99</v>
      </c>
      <c r="F258" s="9">
        <v>5288909</v>
      </c>
      <c r="G258" s="8" t="s">
        <v>133</v>
      </c>
      <c r="H258" s="12" t="s">
        <v>46</v>
      </c>
      <c r="I258" s="10">
        <v>11.275384615384615</v>
      </c>
      <c r="J258" s="8" t="s">
        <v>313</v>
      </c>
      <c r="K258" s="8" t="s">
        <v>139</v>
      </c>
      <c r="L258" s="8"/>
      <c r="M258" s="8"/>
      <c r="N258" s="13" t="str">
        <f>HYPERLINK("http://slimages.macys.com/is/image/MCY/20818707 ")</f>
        <v xml:space="preserve">http://slimages.macys.com/is/image/MCY/20818707 </v>
      </c>
    </row>
    <row r="259" spans="1:14" ht="72" x14ac:dyDescent="0.25">
      <c r="A259" s="12" t="s">
        <v>825</v>
      </c>
      <c r="B259" s="8" t="s">
        <v>826</v>
      </c>
      <c r="C259" s="9">
        <v>1</v>
      </c>
      <c r="D259" s="10">
        <v>20.5</v>
      </c>
      <c r="E259" s="10">
        <v>45.99</v>
      </c>
      <c r="F259" s="9" t="s">
        <v>827</v>
      </c>
      <c r="G259" s="8" t="s">
        <v>137</v>
      </c>
      <c r="H259" s="12" t="s">
        <v>46</v>
      </c>
      <c r="I259" s="10">
        <v>11.038461538461538</v>
      </c>
      <c r="J259" s="8" t="s">
        <v>37</v>
      </c>
      <c r="K259" s="8" t="s">
        <v>828</v>
      </c>
      <c r="L259" s="8" t="s">
        <v>31</v>
      </c>
      <c r="M259" s="8" t="s">
        <v>829</v>
      </c>
      <c r="N259" s="13" t="str">
        <f>HYPERLINK("http://slimages.macys.com/is/image/MCY/15923511 ")</f>
        <v xml:space="preserve">http://slimages.macys.com/is/image/MCY/15923511 </v>
      </c>
    </row>
    <row r="260" spans="1:14" ht="48" x14ac:dyDescent="0.25">
      <c r="A260" s="12" t="s">
        <v>830</v>
      </c>
      <c r="B260" s="8" t="s">
        <v>831</v>
      </c>
      <c r="C260" s="9">
        <v>2</v>
      </c>
      <c r="D260" s="10">
        <v>20</v>
      </c>
      <c r="E260" s="10">
        <v>29.99</v>
      </c>
      <c r="F260" s="9">
        <v>25444</v>
      </c>
      <c r="G260" s="8"/>
      <c r="H260" s="12" t="s">
        <v>433</v>
      </c>
      <c r="I260" s="10">
        <v>10.769230769230768</v>
      </c>
      <c r="J260" s="8" t="s">
        <v>262</v>
      </c>
      <c r="K260" s="8" t="s">
        <v>695</v>
      </c>
      <c r="L260" s="8" t="s">
        <v>286</v>
      </c>
      <c r="M260" s="8" t="s">
        <v>832</v>
      </c>
      <c r="N260" s="13" t="str">
        <f>HYPERLINK("http://slimages.macys.com/is/image/MCY/2354643 ")</f>
        <v xml:space="preserve">http://slimages.macys.com/is/image/MCY/2354643 </v>
      </c>
    </row>
    <row r="261" spans="1:14" ht="48" x14ac:dyDescent="0.25">
      <c r="A261" s="12" t="s">
        <v>833</v>
      </c>
      <c r="B261" s="8" t="s">
        <v>834</v>
      </c>
      <c r="C261" s="9">
        <v>12</v>
      </c>
      <c r="D261" s="10">
        <v>20</v>
      </c>
      <c r="E261" s="10">
        <v>36.4</v>
      </c>
      <c r="F261" s="9" t="s">
        <v>835</v>
      </c>
      <c r="G261" s="8" t="s">
        <v>35</v>
      </c>
      <c r="H261" s="12" t="s">
        <v>599</v>
      </c>
      <c r="I261" s="10">
        <v>10.769230769230768</v>
      </c>
      <c r="J261" s="8" t="s">
        <v>37</v>
      </c>
      <c r="K261" s="8" t="s">
        <v>86</v>
      </c>
      <c r="L261" s="8" t="s">
        <v>79</v>
      </c>
      <c r="M261" s="8" t="s">
        <v>39</v>
      </c>
      <c r="N261" s="13" t="str">
        <f>HYPERLINK("http://slimages.macys.com/is/image/MCY/2093009 ")</f>
        <v xml:space="preserve">http://slimages.macys.com/is/image/MCY/2093009 </v>
      </c>
    </row>
    <row r="262" spans="1:14" ht="48" x14ac:dyDescent="0.25">
      <c r="A262" s="12" t="s">
        <v>836</v>
      </c>
      <c r="B262" s="8" t="s">
        <v>837</v>
      </c>
      <c r="C262" s="9">
        <v>1</v>
      </c>
      <c r="D262" s="10">
        <v>20</v>
      </c>
      <c r="E262" s="10">
        <v>39.99</v>
      </c>
      <c r="F262" s="9" t="s">
        <v>838</v>
      </c>
      <c r="G262" s="8" t="s">
        <v>475</v>
      </c>
      <c r="H262" s="12"/>
      <c r="I262" s="10">
        <v>10.769230769230768</v>
      </c>
      <c r="J262" s="8" t="s">
        <v>37</v>
      </c>
      <c r="K262" s="8" t="s">
        <v>839</v>
      </c>
      <c r="L262" s="8" t="s">
        <v>31</v>
      </c>
      <c r="M262" s="8" t="s">
        <v>840</v>
      </c>
      <c r="N262" s="13" t="str">
        <f>HYPERLINK("http://slimages.macys.com/is/image/MCY/1394296 ")</f>
        <v xml:space="preserve">http://slimages.macys.com/is/image/MCY/1394296 </v>
      </c>
    </row>
    <row r="263" spans="1:14" ht="48" x14ac:dyDescent="0.25">
      <c r="A263" s="12" t="s">
        <v>841</v>
      </c>
      <c r="B263" s="8" t="s">
        <v>842</v>
      </c>
      <c r="C263" s="9">
        <v>1</v>
      </c>
      <c r="D263" s="10">
        <v>20</v>
      </c>
      <c r="E263" s="10">
        <v>55.99</v>
      </c>
      <c r="F263" s="9" t="s">
        <v>843</v>
      </c>
      <c r="G263" s="8" t="s">
        <v>35</v>
      </c>
      <c r="H263" s="12" t="s">
        <v>46</v>
      </c>
      <c r="I263" s="10">
        <v>10.769230769230768</v>
      </c>
      <c r="J263" s="8" t="s">
        <v>313</v>
      </c>
      <c r="K263" s="8" t="s">
        <v>648</v>
      </c>
      <c r="L263" s="8"/>
      <c r="M263" s="8"/>
      <c r="N263" s="13" t="str">
        <f>HYPERLINK("http://slimages.macys.com/is/image/MCY/16804007 ")</f>
        <v xml:space="preserve">http://slimages.macys.com/is/image/MCY/16804007 </v>
      </c>
    </row>
    <row r="264" spans="1:14" ht="48" x14ac:dyDescent="0.25">
      <c r="A264" s="12" t="s">
        <v>844</v>
      </c>
      <c r="B264" s="8" t="s">
        <v>845</v>
      </c>
      <c r="C264" s="9">
        <v>1</v>
      </c>
      <c r="D264" s="10">
        <v>20</v>
      </c>
      <c r="E264" s="10">
        <v>54.99</v>
      </c>
      <c r="F264" s="9" t="s">
        <v>846</v>
      </c>
      <c r="G264" s="8" t="s">
        <v>35</v>
      </c>
      <c r="H264" s="12" t="s">
        <v>46</v>
      </c>
      <c r="I264" s="10">
        <v>10.769230769230768</v>
      </c>
      <c r="J264" s="8" t="s">
        <v>29</v>
      </c>
      <c r="K264" s="8" t="s">
        <v>618</v>
      </c>
      <c r="L264" s="8"/>
      <c r="M264" s="8"/>
      <c r="N264" s="13" t="str">
        <f>HYPERLINK("http://slimages.macys.com/is/image/MCY/18747459 ")</f>
        <v xml:space="preserve">http://slimages.macys.com/is/image/MCY/18747459 </v>
      </c>
    </row>
    <row r="265" spans="1:14" ht="48" x14ac:dyDescent="0.25">
      <c r="A265" s="12" t="s">
        <v>847</v>
      </c>
      <c r="B265" s="8" t="s">
        <v>848</v>
      </c>
      <c r="C265" s="9">
        <v>1</v>
      </c>
      <c r="D265" s="10">
        <v>20</v>
      </c>
      <c r="E265" s="10">
        <v>49.99</v>
      </c>
      <c r="F265" s="9">
        <v>82760</v>
      </c>
      <c r="G265" s="8" t="s">
        <v>50</v>
      </c>
      <c r="H265" s="12" t="s">
        <v>46</v>
      </c>
      <c r="I265" s="10">
        <v>10.769230769230768</v>
      </c>
      <c r="J265" s="8" t="s">
        <v>262</v>
      </c>
      <c r="K265" s="8" t="s">
        <v>695</v>
      </c>
      <c r="L265" s="8" t="s">
        <v>31</v>
      </c>
      <c r="M265" s="8" t="s">
        <v>426</v>
      </c>
      <c r="N265" s="13" t="str">
        <f>HYPERLINK("http://slimages.macys.com/is/image/MCY/15297636 ")</f>
        <v xml:space="preserve">http://slimages.macys.com/is/image/MCY/15297636 </v>
      </c>
    </row>
    <row r="266" spans="1:14" ht="48" x14ac:dyDescent="0.25">
      <c r="A266" s="12" t="s">
        <v>849</v>
      </c>
      <c r="B266" s="8" t="s">
        <v>850</v>
      </c>
      <c r="C266" s="9">
        <v>1</v>
      </c>
      <c r="D266" s="10">
        <v>20</v>
      </c>
      <c r="E266" s="10">
        <v>29.99</v>
      </c>
      <c r="F266" s="9">
        <v>25658</v>
      </c>
      <c r="G266" s="8"/>
      <c r="H266" s="12" t="s">
        <v>851</v>
      </c>
      <c r="I266" s="10">
        <v>10.769230769230768</v>
      </c>
      <c r="J266" s="8" t="s">
        <v>313</v>
      </c>
      <c r="K266" s="8" t="s">
        <v>695</v>
      </c>
      <c r="L266" s="8"/>
      <c r="M266" s="8"/>
      <c r="N266" s="13" t="str">
        <f>HYPERLINK("http://slimages.macys.com/is/image/MCY/18251587 ")</f>
        <v xml:space="preserve">http://slimages.macys.com/is/image/MCY/18251587 </v>
      </c>
    </row>
    <row r="267" spans="1:14" ht="48" x14ac:dyDescent="0.25">
      <c r="A267" s="12" t="s">
        <v>852</v>
      </c>
      <c r="B267" s="8" t="s">
        <v>837</v>
      </c>
      <c r="C267" s="9">
        <v>3</v>
      </c>
      <c r="D267" s="10">
        <v>20</v>
      </c>
      <c r="E267" s="10">
        <v>39.99</v>
      </c>
      <c r="F267" s="9" t="s">
        <v>853</v>
      </c>
      <c r="G267" s="8" t="s">
        <v>454</v>
      </c>
      <c r="H267" s="12"/>
      <c r="I267" s="10">
        <v>10.769230769230768</v>
      </c>
      <c r="J267" s="8" t="s">
        <v>37</v>
      </c>
      <c r="K267" s="8" t="s">
        <v>839</v>
      </c>
      <c r="L267" s="8" t="s">
        <v>31</v>
      </c>
      <c r="M267" s="8" t="s">
        <v>840</v>
      </c>
      <c r="N267" s="13" t="str">
        <f>HYPERLINK("http://slimages.macys.com/is/image/MCY/1394297 ")</f>
        <v xml:space="preserve">http://slimages.macys.com/is/image/MCY/1394297 </v>
      </c>
    </row>
    <row r="268" spans="1:14" ht="48" x14ac:dyDescent="0.25">
      <c r="A268" s="12" t="s">
        <v>854</v>
      </c>
      <c r="B268" s="8" t="s">
        <v>855</v>
      </c>
      <c r="C268" s="9">
        <v>2</v>
      </c>
      <c r="D268" s="10">
        <v>20</v>
      </c>
      <c r="E268" s="10">
        <v>39.99</v>
      </c>
      <c r="F268" s="9" t="s">
        <v>856</v>
      </c>
      <c r="G268" s="8" t="s">
        <v>133</v>
      </c>
      <c r="H268" s="12"/>
      <c r="I268" s="10">
        <v>10.769230769230768</v>
      </c>
      <c r="J268" s="8" t="s">
        <v>37</v>
      </c>
      <c r="K268" s="8" t="s">
        <v>839</v>
      </c>
      <c r="L268" s="8" t="s">
        <v>31</v>
      </c>
      <c r="M268" s="8" t="s">
        <v>840</v>
      </c>
      <c r="N268" s="13" t="str">
        <f>HYPERLINK("http://slimages.macys.com/is/image/MCY/1038283 ")</f>
        <v xml:space="preserve">http://slimages.macys.com/is/image/MCY/1038283 </v>
      </c>
    </row>
    <row r="269" spans="1:14" ht="48" x14ac:dyDescent="0.25">
      <c r="A269" s="12" t="s">
        <v>857</v>
      </c>
      <c r="B269" s="8" t="s">
        <v>858</v>
      </c>
      <c r="C269" s="9">
        <v>1</v>
      </c>
      <c r="D269" s="10">
        <v>20</v>
      </c>
      <c r="E269" s="10">
        <v>39.99</v>
      </c>
      <c r="F269" s="9" t="s">
        <v>859</v>
      </c>
      <c r="G269" s="8" t="s">
        <v>137</v>
      </c>
      <c r="H269" s="12" t="s">
        <v>425</v>
      </c>
      <c r="I269" s="10">
        <v>10.769230769230768</v>
      </c>
      <c r="J269" s="8" t="s">
        <v>37</v>
      </c>
      <c r="K269" s="8" t="s">
        <v>68</v>
      </c>
      <c r="L269" s="8"/>
      <c r="M269" s="8" t="s">
        <v>860</v>
      </c>
      <c r="N269" s="13" t="str">
        <f>HYPERLINK("http://slimages.macys.com/is/image/MCY/16374743 ")</f>
        <v xml:space="preserve">http://slimages.macys.com/is/image/MCY/16374743 </v>
      </c>
    </row>
    <row r="270" spans="1:14" ht="48" x14ac:dyDescent="0.25">
      <c r="A270" s="12" t="s">
        <v>861</v>
      </c>
      <c r="B270" s="8" t="s">
        <v>862</v>
      </c>
      <c r="C270" s="9">
        <v>1</v>
      </c>
      <c r="D270" s="10">
        <v>20</v>
      </c>
      <c r="E270" s="10">
        <v>40</v>
      </c>
      <c r="F270" s="9" t="s">
        <v>863</v>
      </c>
      <c r="G270" s="8" t="s">
        <v>45</v>
      </c>
      <c r="H270" s="12"/>
      <c r="I270" s="10">
        <v>10.769230769230768</v>
      </c>
      <c r="J270" s="8" t="s">
        <v>73</v>
      </c>
      <c r="K270" s="8" t="s">
        <v>296</v>
      </c>
      <c r="L270" s="8" t="s">
        <v>286</v>
      </c>
      <c r="M270" s="8" t="s">
        <v>426</v>
      </c>
      <c r="N270" s="13" t="str">
        <f>HYPERLINK("http://slimages.macys.com/is/image/MCY/11975348 ")</f>
        <v xml:space="preserve">http://slimages.macys.com/is/image/MCY/11975348 </v>
      </c>
    </row>
    <row r="271" spans="1:14" ht="48" x14ac:dyDescent="0.25">
      <c r="A271" s="12" t="s">
        <v>864</v>
      </c>
      <c r="B271" s="8" t="s">
        <v>865</v>
      </c>
      <c r="C271" s="9">
        <v>1</v>
      </c>
      <c r="D271" s="10">
        <v>20</v>
      </c>
      <c r="E271" s="10">
        <v>49.99</v>
      </c>
      <c r="F271" s="9">
        <v>26082</v>
      </c>
      <c r="G271" s="8" t="s">
        <v>50</v>
      </c>
      <c r="H271" s="12" t="s">
        <v>46</v>
      </c>
      <c r="I271" s="10">
        <v>10.769230769230768</v>
      </c>
      <c r="J271" s="8" t="s">
        <v>262</v>
      </c>
      <c r="K271" s="8" t="s">
        <v>695</v>
      </c>
      <c r="L271" s="8" t="s">
        <v>31</v>
      </c>
      <c r="M271" s="8" t="s">
        <v>866</v>
      </c>
      <c r="N271" s="13" t="str">
        <f>HYPERLINK("http://slimages.macys.com/is/image/MCY/12671609 ")</f>
        <v xml:space="preserve">http://slimages.macys.com/is/image/MCY/12671609 </v>
      </c>
    </row>
    <row r="272" spans="1:14" ht="48" x14ac:dyDescent="0.25">
      <c r="A272" s="12" t="s">
        <v>867</v>
      </c>
      <c r="B272" s="8" t="s">
        <v>868</v>
      </c>
      <c r="C272" s="9">
        <v>1</v>
      </c>
      <c r="D272" s="10">
        <v>20</v>
      </c>
      <c r="E272" s="10">
        <v>39.99</v>
      </c>
      <c r="F272" s="9">
        <v>27802</v>
      </c>
      <c r="G272" s="8" t="s">
        <v>50</v>
      </c>
      <c r="H272" s="12" t="s">
        <v>46</v>
      </c>
      <c r="I272" s="10">
        <v>10.769230769230768</v>
      </c>
      <c r="J272" s="8" t="s">
        <v>262</v>
      </c>
      <c r="K272" s="8" t="s">
        <v>695</v>
      </c>
      <c r="L272" s="8"/>
      <c r="M272" s="8"/>
      <c r="N272" s="13" t="str">
        <f>HYPERLINK("http://slimages.macys.com/is/image/MCY/19927528 ")</f>
        <v xml:space="preserve">http://slimages.macys.com/is/image/MCY/19927528 </v>
      </c>
    </row>
    <row r="273" spans="1:14" ht="60" x14ac:dyDescent="0.25">
      <c r="A273" s="12" t="s">
        <v>869</v>
      </c>
      <c r="B273" s="8" t="s">
        <v>870</v>
      </c>
      <c r="C273" s="9">
        <v>1</v>
      </c>
      <c r="D273" s="10">
        <v>20</v>
      </c>
      <c r="E273" s="10">
        <v>50</v>
      </c>
      <c r="F273" s="9">
        <v>5574358</v>
      </c>
      <c r="G273" s="8" t="s">
        <v>50</v>
      </c>
      <c r="H273" s="12" t="s">
        <v>46</v>
      </c>
      <c r="I273" s="10">
        <v>10.769230769230768</v>
      </c>
      <c r="J273" s="8" t="s">
        <v>73</v>
      </c>
      <c r="K273" s="8" t="s">
        <v>282</v>
      </c>
      <c r="L273" s="8" t="s">
        <v>871</v>
      </c>
      <c r="M273" s="8" t="s">
        <v>571</v>
      </c>
      <c r="N273" s="13" t="str">
        <f>HYPERLINK("http://images.bloomingdales.com/is/image/BLM/11693238 ")</f>
        <v xml:space="preserve">http://images.bloomingdales.com/is/image/BLM/11693238 </v>
      </c>
    </row>
    <row r="274" spans="1:14" ht="48" x14ac:dyDescent="0.25">
      <c r="A274" s="12" t="s">
        <v>872</v>
      </c>
      <c r="B274" s="8" t="s">
        <v>873</v>
      </c>
      <c r="C274" s="9">
        <v>5</v>
      </c>
      <c r="D274" s="10">
        <v>20</v>
      </c>
      <c r="E274" s="10">
        <v>23.11</v>
      </c>
      <c r="F274" s="9" t="s">
        <v>874</v>
      </c>
      <c r="G274" s="8" t="s">
        <v>133</v>
      </c>
      <c r="H274" s="12" t="s">
        <v>46</v>
      </c>
      <c r="I274" s="10">
        <v>10.769230769230768</v>
      </c>
      <c r="J274" s="8" t="s">
        <v>95</v>
      </c>
      <c r="K274" s="8" t="s">
        <v>306</v>
      </c>
      <c r="L274" s="8"/>
      <c r="M274" s="8"/>
      <c r="N274" s="13" t="str">
        <f>HYPERLINK("http://slimages.macys.com/is/image/MCY/18973194 ")</f>
        <v xml:space="preserve">http://slimages.macys.com/is/image/MCY/18973194 </v>
      </c>
    </row>
    <row r="275" spans="1:14" ht="48" x14ac:dyDescent="0.25">
      <c r="A275" s="12" t="s">
        <v>875</v>
      </c>
      <c r="B275" s="8" t="s">
        <v>876</v>
      </c>
      <c r="C275" s="9">
        <v>1</v>
      </c>
      <c r="D275" s="10">
        <v>20</v>
      </c>
      <c r="E275" s="10">
        <v>39.99</v>
      </c>
      <c r="F275" s="9" t="s">
        <v>877</v>
      </c>
      <c r="G275" s="8" t="s">
        <v>475</v>
      </c>
      <c r="H275" s="12"/>
      <c r="I275" s="10">
        <v>10.769230769230768</v>
      </c>
      <c r="J275" s="8" t="s">
        <v>254</v>
      </c>
      <c r="K275" s="8" t="s">
        <v>68</v>
      </c>
      <c r="L275" s="8" t="s">
        <v>31</v>
      </c>
      <c r="M275" s="8" t="s">
        <v>69</v>
      </c>
      <c r="N275" s="13" t="str">
        <f>HYPERLINK("http://slimages.macys.com/is/image/MCY/10096824 ")</f>
        <v xml:space="preserve">http://slimages.macys.com/is/image/MCY/10096824 </v>
      </c>
    </row>
    <row r="276" spans="1:14" ht="48" x14ac:dyDescent="0.25">
      <c r="A276" s="12" t="s">
        <v>878</v>
      </c>
      <c r="B276" s="8" t="s">
        <v>879</v>
      </c>
      <c r="C276" s="9">
        <v>1</v>
      </c>
      <c r="D276" s="10">
        <v>20</v>
      </c>
      <c r="E276" s="10">
        <v>39.99</v>
      </c>
      <c r="F276" s="9" t="s">
        <v>880</v>
      </c>
      <c r="G276" s="8" t="s">
        <v>153</v>
      </c>
      <c r="H276" s="12" t="s">
        <v>46</v>
      </c>
      <c r="I276" s="10">
        <v>10.769230769230768</v>
      </c>
      <c r="J276" s="8" t="s">
        <v>29</v>
      </c>
      <c r="K276" s="8" t="s">
        <v>154</v>
      </c>
      <c r="L276" s="8" t="s">
        <v>79</v>
      </c>
      <c r="M276" s="8" t="s">
        <v>155</v>
      </c>
      <c r="N276" s="13" t="str">
        <f>HYPERLINK("http://slimages.macys.com/is/image/MCY/14645622 ")</f>
        <v xml:space="preserve">http://slimages.macys.com/is/image/MCY/14645622 </v>
      </c>
    </row>
    <row r="277" spans="1:14" ht="48" x14ac:dyDescent="0.25">
      <c r="A277" s="12" t="s">
        <v>881</v>
      </c>
      <c r="B277" s="8" t="s">
        <v>882</v>
      </c>
      <c r="C277" s="9">
        <v>1</v>
      </c>
      <c r="D277" s="10">
        <v>20</v>
      </c>
      <c r="E277" s="10">
        <v>34.99</v>
      </c>
      <c r="F277" s="9" t="s">
        <v>883</v>
      </c>
      <c r="G277" s="8" t="s">
        <v>50</v>
      </c>
      <c r="H277" s="12" t="s">
        <v>884</v>
      </c>
      <c r="I277" s="10">
        <v>10.769230769230768</v>
      </c>
      <c r="J277" s="8" t="s">
        <v>37</v>
      </c>
      <c r="K277" s="8" t="s">
        <v>86</v>
      </c>
      <c r="L277" s="8" t="s">
        <v>87</v>
      </c>
      <c r="M277" s="8" t="s">
        <v>39</v>
      </c>
      <c r="N277" s="13" t="str">
        <f>HYPERLINK("http://slimages.macys.com/is/image/MCY/2032874 ")</f>
        <v xml:space="preserve">http://slimages.macys.com/is/image/MCY/2032874 </v>
      </c>
    </row>
    <row r="278" spans="1:14" ht="48" x14ac:dyDescent="0.25">
      <c r="A278" s="12" t="s">
        <v>885</v>
      </c>
      <c r="B278" s="8" t="s">
        <v>886</v>
      </c>
      <c r="C278" s="9">
        <v>1</v>
      </c>
      <c r="D278" s="10">
        <v>20</v>
      </c>
      <c r="E278" s="10">
        <v>37</v>
      </c>
      <c r="F278" s="9">
        <v>50146901006</v>
      </c>
      <c r="G278" s="8" t="s">
        <v>45</v>
      </c>
      <c r="H278" s="12" t="s">
        <v>884</v>
      </c>
      <c r="I278" s="10">
        <v>10.769230769230768</v>
      </c>
      <c r="J278" s="8" t="s">
        <v>37</v>
      </c>
      <c r="K278" s="8" t="s">
        <v>267</v>
      </c>
      <c r="L278" s="8"/>
      <c r="M278" s="8" t="s">
        <v>182</v>
      </c>
      <c r="N278" s="13" t="str">
        <f>HYPERLINK("http://slimages.macys.com/is/image/MCY/1249677 ")</f>
        <v xml:space="preserve">http://slimages.macys.com/is/image/MCY/1249677 </v>
      </c>
    </row>
    <row r="279" spans="1:14" ht="48" x14ac:dyDescent="0.25">
      <c r="A279" s="12" t="s">
        <v>887</v>
      </c>
      <c r="B279" s="8" t="s">
        <v>888</v>
      </c>
      <c r="C279" s="9">
        <v>1</v>
      </c>
      <c r="D279" s="10">
        <v>20</v>
      </c>
      <c r="E279" s="10">
        <v>40</v>
      </c>
      <c r="F279" s="9">
        <v>50167101013</v>
      </c>
      <c r="G279" s="8" t="s">
        <v>137</v>
      </c>
      <c r="H279" s="12" t="s">
        <v>889</v>
      </c>
      <c r="I279" s="10">
        <v>10.769230769230768</v>
      </c>
      <c r="J279" s="8" t="s">
        <v>37</v>
      </c>
      <c r="K279" s="8" t="s">
        <v>38</v>
      </c>
      <c r="L279" s="8"/>
      <c r="M279" s="8"/>
      <c r="N279" s="13" t="str">
        <f>HYPERLINK("http://slimages.macys.com/is/image/MCY/1151435 ")</f>
        <v xml:space="preserve">http://slimages.macys.com/is/image/MCY/1151435 </v>
      </c>
    </row>
    <row r="280" spans="1:14" ht="48" x14ac:dyDescent="0.25">
      <c r="A280" s="12" t="s">
        <v>852</v>
      </c>
      <c r="B280" s="8" t="s">
        <v>837</v>
      </c>
      <c r="C280" s="9">
        <v>1</v>
      </c>
      <c r="D280" s="10">
        <v>20</v>
      </c>
      <c r="E280" s="10">
        <v>39.99</v>
      </c>
      <c r="F280" s="9" t="s">
        <v>853</v>
      </c>
      <c r="G280" s="8" t="s">
        <v>454</v>
      </c>
      <c r="H280" s="12"/>
      <c r="I280" s="10">
        <v>10.769230769230768</v>
      </c>
      <c r="J280" s="8" t="s">
        <v>37</v>
      </c>
      <c r="K280" s="8" t="s">
        <v>839</v>
      </c>
      <c r="L280" s="8" t="s">
        <v>31</v>
      </c>
      <c r="M280" s="8" t="s">
        <v>840</v>
      </c>
      <c r="N280" s="13" t="str">
        <f>HYPERLINK("http://slimages.macys.com/is/image/MCY/1394297 ")</f>
        <v xml:space="preserve">http://slimages.macys.com/is/image/MCY/1394297 </v>
      </c>
    </row>
    <row r="281" spans="1:14" ht="48" x14ac:dyDescent="0.25">
      <c r="A281" s="12" t="s">
        <v>841</v>
      </c>
      <c r="B281" s="8" t="s">
        <v>842</v>
      </c>
      <c r="C281" s="9">
        <v>3</v>
      </c>
      <c r="D281" s="10">
        <v>20</v>
      </c>
      <c r="E281" s="10">
        <v>55.99</v>
      </c>
      <c r="F281" s="9" t="s">
        <v>843</v>
      </c>
      <c r="G281" s="8" t="s">
        <v>35</v>
      </c>
      <c r="H281" s="12" t="s">
        <v>46</v>
      </c>
      <c r="I281" s="10">
        <v>10.769230769230768</v>
      </c>
      <c r="J281" s="8" t="s">
        <v>313</v>
      </c>
      <c r="K281" s="8" t="s">
        <v>648</v>
      </c>
      <c r="L281" s="8"/>
      <c r="M281" s="8"/>
      <c r="N281" s="13" t="str">
        <f>HYPERLINK("http://slimages.macys.com/is/image/MCY/16804007 ")</f>
        <v xml:space="preserve">http://slimages.macys.com/is/image/MCY/16804007 </v>
      </c>
    </row>
    <row r="282" spans="1:14" ht="48" x14ac:dyDescent="0.25">
      <c r="A282" s="12" t="s">
        <v>890</v>
      </c>
      <c r="B282" s="8" t="s">
        <v>891</v>
      </c>
      <c r="C282" s="9">
        <v>2</v>
      </c>
      <c r="D282" s="10">
        <v>20</v>
      </c>
      <c r="E282" s="10">
        <v>39.99</v>
      </c>
      <c r="F282" s="9">
        <v>27308</v>
      </c>
      <c r="G282" s="8" t="s">
        <v>50</v>
      </c>
      <c r="H282" s="12" t="s">
        <v>46</v>
      </c>
      <c r="I282" s="10">
        <v>10.769230769230768</v>
      </c>
      <c r="J282" s="8" t="s">
        <v>262</v>
      </c>
      <c r="K282" s="8" t="s">
        <v>695</v>
      </c>
      <c r="L282" s="8"/>
      <c r="M282" s="8"/>
      <c r="N282" s="13" t="str">
        <f>HYPERLINK("http://slimages.macys.com/is/image/MCY/17548175 ")</f>
        <v xml:space="preserve">http://slimages.macys.com/is/image/MCY/17548175 </v>
      </c>
    </row>
    <row r="283" spans="1:14" ht="48" x14ac:dyDescent="0.25">
      <c r="A283" s="12" t="s">
        <v>892</v>
      </c>
      <c r="B283" s="8" t="s">
        <v>893</v>
      </c>
      <c r="C283" s="9">
        <v>1</v>
      </c>
      <c r="D283" s="10">
        <v>20</v>
      </c>
      <c r="E283" s="10">
        <v>39.99</v>
      </c>
      <c r="F283" s="9">
        <v>5228377</v>
      </c>
      <c r="G283" s="8" t="s">
        <v>475</v>
      </c>
      <c r="H283" s="12" t="s">
        <v>46</v>
      </c>
      <c r="I283" s="10">
        <v>10.769230769230768</v>
      </c>
      <c r="J283" s="8" t="s">
        <v>262</v>
      </c>
      <c r="K283" s="8" t="s">
        <v>139</v>
      </c>
      <c r="L283" s="8" t="s">
        <v>31</v>
      </c>
      <c r="M283" s="8" t="s">
        <v>80</v>
      </c>
      <c r="N283" s="13" t="str">
        <f>HYPERLINK("http://slimages.macys.com/is/image/MCY/10816355 ")</f>
        <v xml:space="preserve">http://slimages.macys.com/is/image/MCY/10816355 </v>
      </c>
    </row>
    <row r="284" spans="1:14" ht="48" x14ac:dyDescent="0.25">
      <c r="A284" s="12" t="s">
        <v>867</v>
      </c>
      <c r="B284" s="8" t="s">
        <v>868</v>
      </c>
      <c r="C284" s="9">
        <v>5</v>
      </c>
      <c r="D284" s="10">
        <v>20</v>
      </c>
      <c r="E284" s="10">
        <v>39.99</v>
      </c>
      <c r="F284" s="9">
        <v>27802</v>
      </c>
      <c r="G284" s="8" t="s">
        <v>50</v>
      </c>
      <c r="H284" s="12" t="s">
        <v>46</v>
      </c>
      <c r="I284" s="10">
        <v>10.769230769230768</v>
      </c>
      <c r="J284" s="8" t="s">
        <v>262</v>
      </c>
      <c r="K284" s="8" t="s">
        <v>695</v>
      </c>
      <c r="L284" s="8"/>
      <c r="M284" s="8"/>
      <c r="N284" s="13" t="str">
        <f>HYPERLINK("http://slimages.macys.com/is/image/MCY/19927528 ")</f>
        <v xml:space="preserve">http://slimages.macys.com/is/image/MCY/19927528 </v>
      </c>
    </row>
    <row r="285" spans="1:14" ht="60" x14ac:dyDescent="0.25">
      <c r="A285" s="12" t="s">
        <v>894</v>
      </c>
      <c r="B285" s="8" t="s">
        <v>895</v>
      </c>
      <c r="C285" s="9">
        <v>2</v>
      </c>
      <c r="D285" s="10">
        <v>19.78</v>
      </c>
      <c r="E285" s="10">
        <v>54.99</v>
      </c>
      <c r="F285" s="9" t="s">
        <v>896</v>
      </c>
      <c r="G285" s="8" t="s">
        <v>50</v>
      </c>
      <c r="H285" s="12" t="s">
        <v>46</v>
      </c>
      <c r="I285" s="10">
        <v>10.65076923076923</v>
      </c>
      <c r="J285" s="8" t="s">
        <v>561</v>
      </c>
      <c r="K285" s="8" t="s">
        <v>897</v>
      </c>
      <c r="L285" s="8" t="s">
        <v>31</v>
      </c>
      <c r="M285" s="8" t="s">
        <v>898</v>
      </c>
      <c r="N285" s="13" t="str">
        <f>HYPERLINK("http://slimages.macys.com/is/image/MCY/9279780 ")</f>
        <v xml:space="preserve">http://slimages.macys.com/is/image/MCY/9279780 </v>
      </c>
    </row>
    <row r="286" spans="1:14" ht="48" x14ac:dyDescent="0.25">
      <c r="A286" s="12" t="s">
        <v>899</v>
      </c>
      <c r="B286" s="8" t="s">
        <v>900</v>
      </c>
      <c r="C286" s="9">
        <v>1</v>
      </c>
      <c r="D286" s="10">
        <v>19.600000000000001</v>
      </c>
      <c r="E286" s="10">
        <v>49</v>
      </c>
      <c r="F286" s="9">
        <v>5191356</v>
      </c>
      <c r="G286" s="8" t="s">
        <v>50</v>
      </c>
      <c r="H286" s="12" t="s">
        <v>46</v>
      </c>
      <c r="I286" s="10">
        <v>10.553846153846154</v>
      </c>
      <c r="J286" s="8" t="s">
        <v>73</v>
      </c>
      <c r="K286" s="8" t="s">
        <v>282</v>
      </c>
      <c r="L286" s="8"/>
      <c r="M286" s="8" t="s">
        <v>426</v>
      </c>
      <c r="N286" s="13" t="str">
        <f>HYPERLINK("http://slimages.macys.com/is/image/MCY/1698804 ")</f>
        <v xml:space="preserve">http://slimages.macys.com/is/image/MCY/1698804 </v>
      </c>
    </row>
    <row r="287" spans="1:14" ht="48" x14ac:dyDescent="0.25">
      <c r="A287" s="12" t="s">
        <v>901</v>
      </c>
      <c r="B287" s="8" t="s">
        <v>902</v>
      </c>
      <c r="C287" s="9">
        <v>1</v>
      </c>
      <c r="D287" s="10">
        <v>19.5</v>
      </c>
      <c r="E287" s="10">
        <v>48.99</v>
      </c>
      <c r="F287" s="9" t="s">
        <v>903</v>
      </c>
      <c r="G287" s="8"/>
      <c r="H287" s="12"/>
      <c r="I287" s="10">
        <v>10.5</v>
      </c>
      <c r="J287" s="8" t="s">
        <v>313</v>
      </c>
      <c r="K287" s="8" t="s">
        <v>730</v>
      </c>
      <c r="L287" s="8"/>
      <c r="M287" s="8"/>
      <c r="N287" s="13" t="str">
        <f>HYPERLINK("http://slimages.macys.com/is/image/MCY/20416271 ")</f>
        <v xml:space="preserve">http://slimages.macys.com/is/image/MCY/20416271 </v>
      </c>
    </row>
    <row r="288" spans="1:14" ht="48" x14ac:dyDescent="0.25">
      <c r="A288" s="12" t="s">
        <v>904</v>
      </c>
      <c r="B288" s="8" t="s">
        <v>905</v>
      </c>
      <c r="C288" s="9">
        <v>1</v>
      </c>
      <c r="D288" s="10">
        <v>19.25</v>
      </c>
      <c r="E288" s="10">
        <v>29.99</v>
      </c>
      <c r="F288" s="9" t="s">
        <v>906</v>
      </c>
      <c r="G288" s="8" t="s">
        <v>137</v>
      </c>
      <c r="H288" s="12" t="s">
        <v>46</v>
      </c>
      <c r="I288" s="10">
        <v>10.365384615384615</v>
      </c>
      <c r="J288" s="8" t="s">
        <v>29</v>
      </c>
      <c r="K288" s="8" t="s">
        <v>226</v>
      </c>
      <c r="L288" s="8" t="s">
        <v>31</v>
      </c>
      <c r="M288" s="8" t="s">
        <v>907</v>
      </c>
      <c r="N288" s="13" t="str">
        <f>HYPERLINK("http://slimages.macys.com/is/image/MCY/8335828 ")</f>
        <v xml:space="preserve">http://slimages.macys.com/is/image/MCY/8335828 </v>
      </c>
    </row>
    <row r="289" spans="1:14" ht="48" x14ac:dyDescent="0.25">
      <c r="A289" s="12" t="s">
        <v>908</v>
      </c>
      <c r="B289" s="8" t="s">
        <v>909</v>
      </c>
      <c r="C289" s="9">
        <v>1</v>
      </c>
      <c r="D289" s="10">
        <v>19.25</v>
      </c>
      <c r="E289" s="10">
        <v>38.99</v>
      </c>
      <c r="F289" s="9" t="s">
        <v>910</v>
      </c>
      <c r="G289" s="8" t="s">
        <v>153</v>
      </c>
      <c r="H289" s="12" t="s">
        <v>46</v>
      </c>
      <c r="I289" s="10">
        <v>10.365384615384615</v>
      </c>
      <c r="J289" s="8" t="s">
        <v>29</v>
      </c>
      <c r="K289" s="8" t="s">
        <v>911</v>
      </c>
      <c r="L289" s="8" t="s">
        <v>79</v>
      </c>
      <c r="M289" s="8" t="s">
        <v>912</v>
      </c>
      <c r="N289" s="13" t="str">
        <f>HYPERLINK("http://slimages.macys.com/is/image/MCY/11683537 ")</f>
        <v xml:space="preserve">http://slimages.macys.com/is/image/MCY/11683537 </v>
      </c>
    </row>
    <row r="290" spans="1:14" ht="48" x14ac:dyDescent="0.25">
      <c r="A290" s="12" t="s">
        <v>913</v>
      </c>
      <c r="B290" s="8" t="s">
        <v>914</v>
      </c>
      <c r="C290" s="9">
        <v>1</v>
      </c>
      <c r="D290" s="10">
        <v>19.16</v>
      </c>
      <c r="E290" s="10">
        <v>34.99</v>
      </c>
      <c r="F290" s="9" t="s">
        <v>915</v>
      </c>
      <c r="G290" s="8" t="s">
        <v>50</v>
      </c>
      <c r="H290" s="12"/>
      <c r="I290" s="10">
        <v>10.316923076923077</v>
      </c>
      <c r="J290" s="8" t="s">
        <v>262</v>
      </c>
      <c r="K290" s="8" t="s">
        <v>579</v>
      </c>
      <c r="L290" s="8" t="s">
        <v>31</v>
      </c>
      <c r="M290" s="8" t="s">
        <v>916</v>
      </c>
      <c r="N290" s="13" t="str">
        <f>HYPERLINK("http://slimages.macys.com/is/image/MCY/3267854 ")</f>
        <v xml:space="preserve">http://slimages.macys.com/is/image/MCY/3267854 </v>
      </c>
    </row>
    <row r="291" spans="1:14" ht="48" x14ac:dyDescent="0.25">
      <c r="A291" s="12" t="s">
        <v>917</v>
      </c>
      <c r="B291" s="8" t="s">
        <v>918</v>
      </c>
      <c r="C291" s="9">
        <v>1</v>
      </c>
      <c r="D291" s="10">
        <v>19</v>
      </c>
      <c r="E291" s="10">
        <v>44.99</v>
      </c>
      <c r="F291" s="9">
        <v>7140</v>
      </c>
      <c r="G291" s="8" t="s">
        <v>50</v>
      </c>
      <c r="H291" s="12" t="s">
        <v>46</v>
      </c>
      <c r="I291" s="10">
        <v>10.230769230769232</v>
      </c>
      <c r="J291" s="8" t="s">
        <v>29</v>
      </c>
      <c r="K291" s="8" t="s">
        <v>919</v>
      </c>
      <c r="L291" s="8"/>
      <c r="M291" s="8"/>
      <c r="N291" s="13" t="str">
        <f>HYPERLINK("http://slimages.macys.com/is/image/MCY/17717584 ")</f>
        <v xml:space="preserve">http://slimages.macys.com/is/image/MCY/17717584 </v>
      </c>
    </row>
    <row r="292" spans="1:14" ht="48" x14ac:dyDescent="0.25">
      <c r="A292" s="12" t="s">
        <v>920</v>
      </c>
      <c r="B292" s="8" t="s">
        <v>921</v>
      </c>
      <c r="C292" s="9">
        <v>2</v>
      </c>
      <c r="D292" s="10">
        <v>18.75</v>
      </c>
      <c r="E292" s="10">
        <v>46.99</v>
      </c>
      <c r="F292" s="9">
        <v>104175</v>
      </c>
      <c r="G292" s="8" t="s">
        <v>133</v>
      </c>
      <c r="H292" s="12"/>
      <c r="I292" s="10">
        <v>10.096153846153845</v>
      </c>
      <c r="J292" s="8" t="s">
        <v>209</v>
      </c>
      <c r="K292" s="8" t="s">
        <v>922</v>
      </c>
      <c r="L292" s="8"/>
      <c r="M292" s="8"/>
      <c r="N292" s="13" t="str">
        <f>HYPERLINK("http://slimages.macys.com/is/image/MCY/22504195 ")</f>
        <v xml:space="preserve">http://slimages.macys.com/is/image/MCY/22504195 </v>
      </c>
    </row>
    <row r="293" spans="1:14" ht="48" x14ac:dyDescent="0.25">
      <c r="A293" s="12" t="s">
        <v>923</v>
      </c>
      <c r="B293" s="8" t="s">
        <v>924</v>
      </c>
      <c r="C293" s="9">
        <v>1</v>
      </c>
      <c r="D293" s="10">
        <v>18.600000000000001</v>
      </c>
      <c r="E293" s="10">
        <v>51.99</v>
      </c>
      <c r="F293" s="9" t="s">
        <v>925</v>
      </c>
      <c r="G293" s="8" t="s">
        <v>50</v>
      </c>
      <c r="H293" s="12" t="s">
        <v>46</v>
      </c>
      <c r="I293" s="10">
        <v>10.015384615384615</v>
      </c>
      <c r="J293" s="8" t="s">
        <v>313</v>
      </c>
      <c r="K293" s="8" t="s">
        <v>648</v>
      </c>
      <c r="L293" s="8" t="s">
        <v>31</v>
      </c>
      <c r="M293" s="8" t="s">
        <v>926</v>
      </c>
      <c r="N293" s="13" t="str">
        <f>HYPERLINK("http://slimages.macys.com/is/image/MCY/9602840 ")</f>
        <v xml:space="preserve">http://slimages.macys.com/is/image/MCY/9602840 </v>
      </c>
    </row>
    <row r="294" spans="1:14" ht="48" x14ac:dyDescent="0.25">
      <c r="A294" s="12" t="s">
        <v>923</v>
      </c>
      <c r="B294" s="8" t="s">
        <v>924</v>
      </c>
      <c r="C294" s="9">
        <v>1</v>
      </c>
      <c r="D294" s="10">
        <v>18.600000000000001</v>
      </c>
      <c r="E294" s="10">
        <v>51.99</v>
      </c>
      <c r="F294" s="9" t="s">
        <v>925</v>
      </c>
      <c r="G294" s="8" t="s">
        <v>50</v>
      </c>
      <c r="H294" s="12" t="s">
        <v>46</v>
      </c>
      <c r="I294" s="10">
        <v>10.015384615384615</v>
      </c>
      <c r="J294" s="8" t="s">
        <v>313</v>
      </c>
      <c r="K294" s="8" t="s">
        <v>648</v>
      </c>
      <c r="L294" s="8" t="s">
        <v>31</v>
      </c>
      <c r="M294" s="8" t="s">
        <v>926</v>
      </c>
      <c r="N294" s="13" t="str">
        <f>HYPERLINK("http://slimages.macys.com/is/image/MCY/9602840 ")</f>
        <v xml:space="preserve">http://slimages.macys.com/is/image/MCY/9602840 </v>
      </c>
    </row>
    <row r="295" spans="1:14" ht="48" x14ac:dyDescent="0.25">
      <c r="A295" s="12" t="s">
        <v>927</v>
      </c>
      <c r="B295" s="8" t="s">
        <v>928</v>
      </c>
      <c r="C295" s="9">
        <v>1</v>
      </c>
      <c r="D295" s="10">
        <v>18.5</v>
      </c>
      <c r="E295" s="10">
        <v>40.99</v>
      </c>
      <c r="F295" s="9" t="s">
        <v>929</v>
      </c>
      <c r="G295" s="8" t="s">
        <v>45</v>
      </c>
      <c r="H295" s="12"/>
      <c r="I295" s="10">
        <v>9.9615384615384599</v>
      </c>
      <c r="J295" s="8" t="s">
        <v>262</v>
      </c>
      <c r="K295" s="8" t="s">
        <v>930</v>
      </c>
      <c r="L295" s="8" t="s">
        <v>31</v>
      </c>
      <c r="M295" s="8" t="s">
        <v>80</v>
      </c>
      <c r="N295" s="13" t="str">
        <f>HYPERLINK("http://slimages.macys.com/is/image/MCY/11281227 ")</f>
        <v xml:space="preserve">http://slimages.macys.com/is/image/MCY/11281227 </v>
      </c>
    </row>
    <row r="296" spans="1:14" ht="60" x14ac:dyDescent="0.25">
      <c r="A296" s="12" t="s">
        <v>931</v>
      </c>
      <c r="B296" s="8" t="s">
        <v>932</v>
      </c>
      <c r="C296" s="9">
        <v>4</v>
      </c>
      <c r="D296" s="10">
        <v>18.440000000000001</v>
      </c>
      <c r="E296" s="10">
        <v>59.99</v>
      </c>
      <c r="F296" s="9">
        <v>10007263700</v>
      </c>
      <c r="G296" s="8" t="s">
        <v>50</v>
      </c>
      <c r="H296" s="12" t="s">
        <v>46</v>
      </c>
      <c r="I296" s="10">
        <v>9.9292307692307684</v>
      </c>
      <c r="J296" s="8" t="s">
        <v>202</v>
      </c>
      <c r="K296" s="8" t="s">
        <v>203</v>
      </c>
      <c r="L296" s="8" t="s">
        <v>31</v>
      </c>
      <c r="M296" s="8" t="s">
        <v>933</v>
      </c>
      <c r="N296" s="13" t="str">
        <f>HYPERLINK("http://slimages.macys.com/is/image/MCY/13975585 ")</f>
        <v xml:space="preserve">http://slimages.macys.com/is/image/MCY/13975585 </v>
      </c>
    </row>
    <row r="297" spans="1:14" ht="60" x14ac:dyDescent="0.25">
      <c r="A297" s="12" t="s">
        <v>934</v>
      </c>
      <c r="B297" s="8" t="s">
        <v>935</v>
      </c>
      <c r="C297" s="9">
        <v>1</v>
      </c>
      <c r="D297" s="10">
        <v>18.22</v>
      </c>
      <c r="E297" s="10">
        <v>79.989999999999995</v>
      </c>
      <c r="F297" s="9" t="s">
        <v>936</v>
      </c>
      <c r="G297" s="8" t="s">
        <v>50</v>
      </c>
      <c r="H297" s="12" t="s">
        <v>46</v>
      </c>
      <c r="I297" s="10">
        <v>9.81076923076923</v>
      </c>
      <c r="J297" s="8" t="s">
        <v>95</v>
      </c>
      <c r="K297" s="8" t="s">
        <v>937</v>
      </c>
      <c r="L297" s="8" t="s">
        <v>31</v>
      </c>
      <c r="M297" s="8" t="s">
        <v>123</v>
      </c>
      <c r="N297" s="13" t="str">
        <f>HYPERLINK("http://slimages.macys.com/is/image/MCY/8184213 ")</f>
        <v xml:space="preserve">http://slimages.macys.com/is/image/MCY/8184213 </v>
      </c>
    </row>
    <row r="298" spans="1:14" ht="48" x14ac:dyDescent="0.25">
      <c r="A298" s="12" t="s">
        <v>938</v>
      </c>
      <c r="B298" s="8" t="s">
        <v>939</v>
      </c>
      <c r="C298" s="9">
        <v>1</v>
      </c>
      <c r="D298" s="10">
        <v>18</v>
      </c>
      <c r="E298" s="10">
        <v>56.99</v>
      </c>
      <c r="F298" s="9">
        <v>19486</v>
      </c>
      <c r="G298" s="8" t="s">
        <v>50</v>
      </c>
      <c r="H298" s="12" t="s">
        <v>46</v>
      </c>
      <c r="I298" s="10">
        <v>9.6923076923076916</v>
      </c>
      <c r="J298" s="8" t="s">
        <v>313</v>
      </c>
      <c r="K298" s="8" t="s">
        <v>695</v>
      </c>
      <c r="L298" s="8" t="s">
        <v>31</v>
      </c>
      <c r="M298" s="8" t="s">
        <v>587</v>
      </c>
      <c r="N298" s="13" t="str">
        <f>HYPERLINK("http://slimages.macys.com/is/image/MCY/3951116 ")</f>
        <v xml:space="preserve">http://slimages.macys.com/is/image/MCY/3951116 </v>
      </c>
    </row>
    <row r="299" spans="1:14" ht="48" x14ac:dyDescent="0.25">
      <c r="A299" s="12" t="s">
        <v>940</v>
      </c>
      <c r="B299" s="8" t="s">
        <v>941</v>
      </c>
      <c r="C299" s="9">
        <v>1</v>
      </c>
      <c r="D299" s="10">
        <v>17.52</v>
      </c>
      <c r="E299" s="10">
        <v>49.99</v>
      </c>
      <c r="F299" s="9">
        <v>10008749100</v>
      </c>
      <c r="G299" s="8" t="s">
        <v>50</v>
      </c>
      <c r="H299" s="12" t="s">
        <v>46</v>
      </c>
      <c r="I299" s="10">
        <v>9.4338461538461527</v>
      </c>
      <c r="J299" s="8" t="s">
        <v>241</v>
      </c>
      <c r="K299" s="8" t="s">
        <v>242</v>
      </c>
      <c r="L299" s="8"/>
      <c r="M299" s="8"/>
      <c r="N299" s="13" t="str">
        <f>HYPERLINK("http://slimages.macys.com/is/image/MCY/16325528 ")</f>
        <v xml:space="preserve">http://slimages.macys.com/is/image/MCY/16325528 </v>
      </c>
    </row>
    <row r="300" spans="1:14" ht="48" x14ac:dyDescent="0.25">
      <c r="A300" s="12" t="s">
        <v>942</v>
      </c>
      <c r="B300" s="8" t="s">
        <v>943</v>
      </c>
      <c r="C300" s="9">
        <v>1</v>
      </c>
      <c r="D300" s="10">
        <v>17.5</v>
      </c>
      <c r="E300" s="10">
        <v>33.99</v>
      </c>
      <c r="F300" s="9">
        <v>97603</v>
      </c>
      <c r="G300" s="8" t="s">
        <v>50</v>
      </c>
      <c r="H300" s="12" t="s">
        <v>46</v>
      </c>
      <c r="I300" s="10">
        <v>9.4230769230769234</v>
      </c>
      <c r="J300" s="8" t="s">
        <v>313</v>
      </c>
      <c r="K300" s="8" t="s">
        <v>695</v>
      </c>
      <c r="L300" s="8" t="s">
        <v>31</v>
      </c>
      <c r="M300" s="8" t="s">
        <v>123</v>
      </c>
      <c r="N300" s="13" t="str">
        <f>HYPERLINK("http://slimages.macys.com/is/image/MCY/11416285 ")</f>
        <v xml:space="preserve">http://slimages.macys.com/is/image/MCY/11416285 </v>
      </c>
    </row>
    <row r="301" spans="1:14" ht="48" x14ac:dyDescent="0.25">
      <c r="A301" s="12" t="s">
        <v>944</v>
      </c>
      <c r="B301" s="8" t="s">
        <v>945</v>
      </c>
      <c r="C301" s="9">
        <v>1</v>
      </c>
      <c r="D301" s="10">
        <v>17.5</v>
      </c>
      <c r="E301" s="10">
        <v>34.99</v>
      </c>
      <c r="F301" s="9">
        <v>5193771</v>
      </c>
      <c r="G301" s="8" t="s">
        <v>475</v>
      </c>
      <c r="H301" s="12" t="s">
        <v>946</v>
      </c>
      <c r="I301" s="10">
        <v>9.4230769230769234</v>
      </c>
      <c r="J301" s="8" t="s">
        <v>254</v>
      </c>
      <c r="K301" s="8" t="s">
        <v>139</v>
      </c>
      <c r="L301" s="8" t="s">
        <v>31</v>
      </c>
      <c r="M301" s="8" t="s">
        <v>271</v>
      </c>
      <c r="N301" s="13" t="str">
        <f>HYPERLINK("http://slimages.macys.com/is/image/MCY/3947891 ")</f>
        <v xml:space="preserve">http://slimages.macys.com/is/image/MCY/3947891 </v>
      </c>
    </row>
    <row r="302" spans="1:14" ht="48" x14ac:dyDescent="0.25">
      <c r="A302" s="12" t="s">
        <v>947</v>
      </c>
      <c r="B302" s="8" t="s">
        <v>948</v>
      </c>
      <c r="C302" s="9">
        <v>1</v>
      </c>
      <c r="D302" s="10">
        <v>17.5</v>
      </c>
      <c r="E302" s="10">
        <v>34.99</v>
      </c>
      <c r="F302" s="9">
        <v>11601</v>
      </c>
      <c r="G302" s="8" t="s">
        <v>50</v>
      </c>
      <c r="H302" s="12" t="s">
        <v>46</v>
      </c>
      <c r="I302" s="10">
        <v>9.4230769230769234</v>
      </c>
      <c r="J302" s="8" t="s">
        <v>313</v>
      </c>
      <c r="K302" s="8" t="s">
        <v>695</v>
      </c>
      <c r="L302" s="8" t="s">
        <v>31</v>
      </c>
      <c r="M302" s="8" t="s">
        <v>186</v>
      </c>
      <c r="N302" s="13" t="str">
        <f>HYPERLINK("http://slimages.macys.com/is/image/MCY/12681536 ")</f>
        <v xml:space="preserve">http://slimages.macys.com/is/image/MCY/12681536 </v>
      </c>
    </row>
    <row r="303" spans="1:14" ht="48" x14ac:dyDescent="0.25">
      <c r="A303" s="12" t="s">
        <v>949</v>
      </c>
      <c r="B303" s="8" t="s">
        <v>950</v>
      </c>
      <c r="C303" s="9">
        <v>1</v>
      </c>
      <c r="D303" s="10">
        <v>17.5</v>
      </c>
      <c r="E303" s="10">
        <v>33.6</v>
      </c>
      <c r="F303" s="9">
        <v>62489178</v>
      </c>
      <c r="G303" s="8" t="s">
        <v>58</v>
      </c>
      <c r="H303" s="12" t="s">
        <v>951</v>
      </c>
      <c r="I303" s="10">
        <v>9.4230769230769234</v>
      </c>
      <c r="J303" s="8" t="s">
        <v>138</v>
      </c>
      <c r="K303" s="8" t="s">
        <v>512</v>
      </c>
      <c r="L303" s="8" t="s">
        <v>31</v>
      </c>
      <c r="M303" s="8" t="s">
        <v>460</v>
      </c>
      <c r="N303" s="13" t="str">
        <f>HYPERLINK("http://slimages.macys.com/is/image/MCY/12101723 ")</f>
        <v xml:space="preserve">http://slimages.macys.com/is/image/MCY/12101723 </v>
      </c>
    </row>
    <row r="304" spans="1:14" ht="48" x14ac:dyDescent="0.25">
      <c r="A304" s="12" t="s">
        <v>942</v>
      </c>
      <c r="B304" s="8" t="s">
        <v>952</v>
      </c>
      <c r="C304" s="9">
        <v>1</v>
      </c>
      <c r="D304" s="10">
        <v>17.5</v>
      </c>
      <c r="E304" s="10">
        <v>33.99</v>
      </c>
      <c r="F304" s="9">
        <v>97603</v>
      </c>
      <c r="G304" s="8" t="s">
        <v>50</v>
      </c>
      <c r="H304" s="12" t="s">
        <v>46</v>
      </c>
      <c r="I304" s="10">
        <v>9.4230769230769234</v>
      </c>
      <c r="J304" s="8" t="s">
        <v>313</v>
      </c>
      <c r="K304" s="8" t="s">
        <v>695</v>
      </c>
      <c r="L304" s="8" t="s">
        <v>31</v>
      </c>
      <c r="M304" s="8" t="s">
        <v>123</v>
      </c>
      <c r="N304" s="13" t="str">
        <f>HYPERLINK("http://slimages.macys.com/is/image/MCY/11416285 ")</f>
        <v xml:space="preserve">http://slimages.macys.com/is/image/MCY/11416285 </v>
      </c>
    </row>
    <row r="305" spans="1:14" ht="48" x14ac:dyDescent="0.25">
      <c r="A305" s="12" t="s">
        <v>953</v>
      </c>
      <c r="B305" s="8" t="s">
        <v>954</v>
      </c>
      <c r="C305" s="9">
        <v>1</v>
      </c>
      <c r="D305" s="10">
        <v>17.5</v>
      </c>
      <c r="E305" s="10">
        <v>25</v>
      </c>
      <c r="F305" s="9" t="s">
        <v>955</v>
      </c>
      <c r="G305" s="8" t="s">
        <v>50</v>
      </c>
      <c r="H305" s="12" t="s">
        <v>46</v>
      </c>
      <c r="I305" s="10">
        <v>9.4230769230769234</v>
      </c>
      <c r="J305" s="8" t="s">
        <v>37</v>
      </c>
      <c r="K305" s="8" t="s">
        <v>38</v>
      </c>
      <c r="L305" s="8"/>
      <c r="M305" s="8" t="s">
        <v>39</v>
      </c>
      <c r="N305" s="13" t="str">
        <f>HYPERLINK("http://slimages.macys.com/is/image/MCY/1573000 ")</f>
        <v xml:space="preserve">http://slimages.macys.com/is/image/MCY/1573000 </v>
      </c>
    </row>
    <row r="306" spans="1:14" ht="48" x14ac:dyDescent="0.25">
      <c r="A306" s="12" t="s">
        <v>956</v>
      </c>
      <c r="B306" s="8" t="s">
        <v>957</v>
      </c>
      <c r="C306" s="9">
        <v>2</v>
      </c>
      <c r="D306" s="10">
        <v>17.5</v>
      </c>
      <c r="E306" s="10">
        <v>34.99</v>
      </c>
      <c r="F306" s="9" t="s">
        <v>958</v>
      </c>
      <c r="G306" s="8" t="s">
        <v>50</v>
      </c>
      <c r="H306" s="12" t="s">
        <v>291</v>
      </c>
      <c r="I306" s="10">
        <v>9.4230769230769234</v>
      </c>
      <c r="J306" s="8" t="s">
        <v>254</v>
      </c>
      <c r="K306" s="8" t="s">
        <v>86</v>
      </c>
      <c r="L306" s="8"/>
      <c r="M306" s="8"/>
      <c r="N306" s="13" t="str">
        <f>HYPERLINK("http://slimages.macys.com/is/image/MCY/78402 ")</f>
        <v xml:space="preserve">http://slimages.macys.com/is/image/MCY/78402 </v>
      </c>
    </row>
    <row r="307" spans="1:14" ht="48" x14ac:dyDescent="0.25">
      <c r="A307" s="12" t="s">
        <v>956</v>
      </c>
      <c r="B307" s="8" t="s">
        <v>957</v>
      </c>
      <c r="C307" s="9">
        <v>1</v>
      </c>
      <c r="D307" s="10">
        <v>17.5</v>
      </c>
      <c r="E307" s="10">
        <v>34.99</v>
      </c>
      <c r="F307" s="9" t="s">
        <v>958</v>
      </c>
      <c r="G307" s="8" t="s">
        <v>50</v>
      </c>
      <c r="H307" s="12" t="s">
        <v>291</v>
      </c>
      <c r="I307" s="10">
        <v>9.4230769230769234</v>
      </c>
      <c r="J307" s="8" t="s">
        <v>254</v>
      </c>
      <c r="K307" s="8" t="s">
        <v>86</v>
      </c>
      <c r="L307" s="8"/>
      <c r="M307" s="8"/>
      <c r="N307" s="13" t="str">
        <f>HYPERLINK("http://slimages.macys.com/is/image/MCY/78402 ")</f>
        <v xml:space="preserve">http://slimages.macys.com/is/image/MCY/78402 </v>
      </c>
    </row>
    <row r="308" spans="1:14" ht="84" x14ac:dyDescent="0.25">
      <c r="A308" s="12" t="s">
        <v>959</v>
      </c>
      <c r="B308" s="8" t="s">
        <v>960</v>
      </c>
      <c r="C308" s="9">
        <v>8</v>
      </c>
      <c r="D308" s="10">
        <v>17.5</v>
      </c>
      <c r="E308" s="10">
        <v>34.99</v>
      </c>
      <c r="F308" s="9" t="s">
        <v>961</v>
      </c>
      <c r="G308" s="8" t="s">
        <v>962</v>
      </c>
      <c r="H308" s="12" t="s">
        <v>46</v>
      </c>
      <c r="I308" s="10">
        <v>9.4230769230769234</v>
      </c>
      <c r="J308" s="8" t="s">
        <v>963</v>
      </c>
      <c r="K308" s="8" t="s">
        <v>964</v>
      </c>
      <c r="L308" s="8" t="s">
        <v>286</v>
      </c>
      <c r="M308" s="8" t="s">
        <v>965</v>
      </c>
      <c r="N308" s="13" t="str">
        <f>HYPERLINK("http://images.bloomingdales.com/is/image/BLM/11982909 ")</f>
        <v xml:space="preserve">http://images.bloomingdales.com/is/image/BLM/11982909 </v>
      </c>
    </row>
    <row r="309" spans="1:14" ht="48" x14ac:dyDescent="0.25">
      <c r="A309" s="12" t="s">
        <v>944</v>
      </c>
      <c r="B309" s="8" t="s">
        <v>945</v>
      </c>
      <c r="C309" s="9">
        <v>1</v>
      </c>
      <c r="D309" s="10">
        <v>17.5</v>
      </c>
      <c r="E309" s="10">
        <v>34.99</v>
      </c>
      <c r="F309" s="9">
        <v>5193771</v>
      </c>
      <c r="G309" s="8" t="s">
        <v>475</v>
      </c>
      <c r="H309" s="12" t="s">
        <v>946</v>
      </c>
      <c r="I309" s="10">
        <v>9.4230769230769234</v>
      </c>
      <c r="J309" s="8" t="s">
        <v>254</v>
      </c>
      <c r="K309" s="8" t="s">
        <v>139</v>
      </c>
      <c r="L309" s="8" t="s">
        <v>31</v>
      </c>
      <c r="M309" s="8" t="s">
        <v>271</v>
      </c>
      <c r="N309" s="13" t="str">
        <f>HYPERLINK("http://slimages.macys.com/is/image/MCY/3947891 ")</f>
        <v xml:space="preserve">http://slimages.macys.com/is/image/MCY/3947891 </v>
      </c>
    </row>
    <row r="310" spans="1:14" ht="48" x14ac:dyDescent="0.25">
      <c r="A310" s="12" t="s">
        <v>966</v>
      </c>
      <c r="B310" s="8" t="s">
        <v>967</v>
      </c>
      <c r="C310" s="9">
        <v>2</v>
      </c>
      <c r="D310" s="10">
        <v>17.5</v>
      </c>
      <c r="E310" s="10">
        <v>30</v>
      </c>
      <c r="F310" s="9">
        <v>40033716</v>
      </c>
      <c r="G310" s="8" t="s">
        <v>35</v>
      </c>
      <c r="H310" s="12" t="s">
        <v>884</v>
      </c>
      <c r="I310" s="10">
        <v>9.4230769230769234</v>
      </c>
      <c r="J310" s="8" t="s">
        <v>37</v>
      </c>
      <c r="K310" s="8" t="s">
        <v>267</v>
      </c>
      <c r="L310" s="8" t="s">
        <v>31</v>
      </c>
      <c r="M310" s="8" t="s">
        <v>968</v>
      </c>
      <c r="N310" s="13" t="str">
        <f>HYPERLINK("http://slimages.macys.com/is/image/MCY/9487853 ")</f>
        <v xml:space="preserve">http://slimages.macys.com/is/image/MCY/9487853 </v>
      </c>
    </row>
    <row r="311" spans="1:14" ht="48" x14ac:dyDescent="0.25">
      <c r="A311" s="12" t="s">
        <v>969</v>
      </c>
      <c r="B311" s="8" t="s">
        <v>970</v>
      </c>
      <c r="C311" s="9">
        <v>2</v>
      </c>
      <c r="D311" s="10">
        <v>17.399999999999999</v>
      </c>
      <c r="E311" s="10">
        <v>47.99</v>
      </c>
      <c r="F311" s="9" t="s">
        <v>971</v>
      </c>
      <c r="G311" s="8" t="s">
        <v>972</v>
      </c>
      <c r="H311" s="12" t="s">
        <v>46</v>
      </c>
      <c r="I311" s="10">
        <v>9.3692307692307679</v>
      </c>
      <c r="J311" s="8" t="s">
        <v>313</v>
      </c>
      <c r="K311" s="8" t="s">
        <v>648</v>
      </c>
      <c r="L311" s="8"/>
      <c r="M311" s="8"/>
      <c r="N311" s="13" t="str">
        <f>HYPERLINK("http://slimages.macys.com/is/image/MCY/16803992 ")</f>
        <v xml:space="preserve">http://slimages.macys.com/is/image/MCY/16803992 </v>
      </c>
    </row>
    <row r="312" spans="1:14" ht="48" x14ac:dyDescent="0.25">
      <c r="A312" s="12" t="s">
        <v>973</v>
      </c>
      <c r="B312" s="8" t="s">
        <v>974</v>
      </c>
      <c r="C312" s="9">
        <v>2</v>
      </c>
      <c r="D312" s="10">
        <v>17.12</v>
      </c>
      <c r="E312" s="10">
        <v>49.99</v>
      </c>
      <c r="F312" s="9">
        <v>100145037</v>
      </c>
      <c r="G312" s="8" t="s">
        <v>50</v>
      </c>
      <c r="H312" s="12" t="s">
        <v>46</v>
      </c>
      <c r="I312" s="10">
        <v>9.218461538461538</v>
      </c>
      <c r="J312" s="8" t="s">
        <v>29</v>
      </c>
      <c r="K312" s="8" t="s">
        <v>975</v>
      </c>
      <c r="L312" s="8"/>
      <c r="M312" s="8"/>
      <c r="N312" s="13" t="str">
        <f>HYPERLINK("http://slimages.macys.com/is/image/MCY/20324461 ")</f>
        <v xml:space="preserve">http://slimages.macys.com/is/image/MCY/20324461 </v>
      </c>
    </row>
    <row r="313" spans="1:14" ht="48" x14ac:dyDescent="0.25">
      <c r="A313" s="12" t="s">
        <v>976</v>
      </c>
      <c r="B313" s="8" t="s">
        <v>977</v>
      </c>
      <c r="C313" s="9">
        <v>1</v>
      </c>
      <c r="D313" s="10">
        <v>17</v>
      </c>
      <c r="E313" s="10">
        <v>39.99</v>
      </c>
      <c r="F313" s="9" t="s">
        <v>978</v>
      </c>
      <c r="G313" s="8" t="s">
        <v>50</v>
      </c>
      <c r="H313" s="12" t="s">
        <v>327</v>
      </c>
      <c r="I313" s="10">
        <v>9.1538461538461533</v>
      </c>
      <c r="J313" s="8" t="s">
        <v>262</v>
      </c>
      <c r="K313" s="8" t="s">
        <v>441</v>
      </c>
      <c r="L313" s="8"/>
      <c r="M313" s="8"/>
      <c r="N313" s="13" t="str">
        <f>HYPERLINK("http://slimages.macys.com/is/image/MCY/2446479 ")</f>
        <v xml:space="preserve">http://slimages.macys.com/is/image/MCY/2446479 </v>
      </c>
    </row>
    <row r="314" spans="1:14" ht="48" x14ac:dyDescent="0.25">
      <c r="A314" s="12" t="s">
        <v>979</v>
      </c>
      <c r="B314" s="8" t="s">
        <v>980</v>
      </c>
      <c r="C314" s="9">
        <v>1</v>
      </c>
      <c r="D314" s="10">
        <v>16.96</v>
      </c>
      <c r="E314" s="10">
        <v>23.11</v>
      </c>
      <c r="F314" s="9" t="s">
        <v>981</v>
      </c>
      <c r="G314" s="8" t="s">
        <v>50</v>
      </c>
      <c r="H314" s="12" t="s">
        <v>232</v>
      </c>
      <c r="I314" s="10">
        <v>9.1323076923076911</v>
      </c>
      <c r="J314" s="8" t="s">
        <v>138</v>
      </c>
      <c r="K314" s="8" t="s">
        <v>982</v>
      </c>
      <c r="L314" s="8" t="s">
        <v>31</v>
      </c>
      <c r="M314" s="8" t="s">
        <v>983</v>
      </c>
      <c r="N314" s="13" t="str">
        <f>HYPERLINK("http://slimages.macys.com/is/image/MCY/8237555 ")</f>
        <v xml:space="preserve">http://slimages.macys.com/is/image/MCY/8237555 </v>
      </c>
    </row>
    <row r="315" spans="1:14" ht="48" x14ac:dyDescent="0.25">
      <c r="A315" s="12" t="s">
        <v>984</v>
      </c>
      <c r="B315" s="8" t="s">
        <v>985</v>
      </c>
      <c r="C315" s="9">
        <v>2</v>
      </c>
      <c r="D315" s="10">
        <v>16.63</v>
      </c>
      <c r="E315" s="10">
        <v>56</v>
      </c>
      <c r="F315" s="9">
        <v>83316687</v>
      </c>
      <c r="G315" s="8" t="s">
        <v>50</v>
      </c>
      <c r="H315" s="12" t="s">
        <v>986</v>
      </c>
      <c r="I315" s="10">
        <v>8.9546153846153835</v>
      </c>
      <c r="J315" s="8" t="s">
        <v>811</v>
      </c>
      <c r="K315" s="8" t="s">
        <v>812</v>
      </c>
      <c r="L315" s="8"/>
      <c r="M315" s="8"/>
      <c r="N315" s="13" t="str">
        <f>HYPERLINK("http://slimages.macys.com/is/image/MCY/17566580 ")</f>
        <v xml:space="preserve">http://slimages.macys.com/is/image/MCY/17566580 </v>
      </c>
    </row>
    <row r="316" spans="1:14" ht="60" x14ac:dyDescent="0.25">
      <c r="A316" s="12" t="s">
        <v>987</v>
      </c>
      <c r="B316" s="8" t="s">
        <v>988</v>
      </c>
      <c r="C316" s="9">
        <v>1</v>
      </c>
      <c r="D316" s="10">
        <v>16.5</v>
      </c>
      <c r="E316" s="10">
        <v>35.99</v>
      </c>
      <c r="F316" s="9">
        <v>12399802</v>
      </c>
      <c r="G316" s="8" t="s">
        <v>972</v>
      </c>
      <c r="H316" s="12" t="s">
        <v>783</v>
      </c>
      <c r="I316" s="10">
        <v>8.884615384615385</v>
      </c>
      <c r="J316" s="8" t="s">
        <v>313</v>
      </c>
      <c r="K316" s="8" t="s">
        <v>989</v>
      </c>
      <c r="L316" s="8" t="s">
        <v>31</v>
      </c>
      <c r="M316" s="8" t="s">
        <v>990</v>
      </c>
      <c r="N316" s="13" t="str">
        <f>HYPERLINK("http://slimages.macys.com/is/image/MCY/15924515 ")</f>
        <v xml:space="preserve">http://slimages.macys.com/is/image/MCY/15924515 </v>
      </c>
    </row>
    <row r="317" spans="1:14" ht="60" x14ac:dyDescent="0.25">
      <c r="A317" s="12" t="s">
        <v>991</v>
      </c>
      <c r="B317" s="8" t="s">
        <v>992</v>
      </c>
      <c r="C317" s="9">
        <v>1</v>
      </c>
      <c r="D317" s="10">
        <v>15.99</v>
      </c>
      <c r="E317" s="10">
        <v>39</v>
      </c>
      <c r="F317" s="9">
        <v>72919</v>
      </c>
      <c r="G317" s="8" t="s">
        <v>50</v>
      </c>
      <c r="H317" s="12" t="s">
        <v>46</v>
      </c>
      <c r="I317" s="10">
        <v>8.61</v>
      </c>
      <c r="J317" s="8" t="s">
        <v>495</v>
      </c>
      <c r="K317" s="8" t="s">
        <v>594</v>
      </c>
      <c r="L317" s="8" t="s">
        <v>79</v>
      </c>
      <c r="M317" s="8" t="s">
        <v>993</v>
      </c>
      <c r="N317" s="13" t="str">
        <f>HYPERLINK("http://images.bloomingdales.com/is/image/BLM/10245780 ")</f>
        <v xml:space="preserve">http://images.bloomingdales.com/is/image/BLM/10245780 </v>
      </c>
    </row>
    <row r="318" spans="1:14" ht="60" x14ac:dyDescent="0.25">
      <c r="A318" s="12" t="s">
        <v>994</v>
      </c>
      <c r="B318" s="8" t="s">
        <v>995</v>
      </c>
      <c r="C318" s="9">
        <v>1</v>
      </c>
      <c r="D318" s="10">
        <v>15.95</v>
      </c>
      <c r="E318" s="10">
        <v>34</v>
      </c>
      <c r="F318" s="9" t="s">
        <v>996</v>
      </c>
      <c r="G318" s="8" t="s">
        <v>50</v>
      </c>
      <c r="H318" s="12" t="s">
        <v>46</v>
      </c>
      <c r="I318" s="10">
        <v>8.5884615384615373</v>
      </c>
      <c r="J318" s="8" t="s">
        <v>495</v>
      </c>
      <c r="K318" s="8" t="s">
        <v>997</v>
      </c>
      <c r="L318" s="8" t="s">
        <v>79</v>
      </c>
      <c r="M318" s="8" t="s">
        <v>998</v>
      </c>
      <c r="N318" s="13" t="str">
        <f>HYPERLINK("http://images.bloomingdales.com/is/image/BLM/10259355 ")</f>
        <v xml:space="preserve">http://images.bloomingdales.com/is/image/BLM/10259355 </v>
      </c>
    </row>
    <row r="319" spans="1:14" ht="48" x14ac:dyDescent="0.25">
      <c r="A319" s="12" t="s">
        <v>999</v>
      </c>
      <c r="B319" s="8" t="s">
        <v>1000</v>
      </c>
      <c r="C319" s="9">
        <v>4</v>
      </c>
      <c r="D319" s="10">
        <v>15.75</v>
      </c>
      <c r="E319" s="10">
        <v>18.75</v>
      </c>
      <c r="F319" s="9">
        <v>22811420</v>
      </c>
      <c r="G319" s="8" t="s">
        <v>50</v>
      </c>
      <c r="H319" s="12"/>
      <c r="I319" s="10">
        <v>8.4807692307692299</v>
      </c>
      <c r="J319" s="8" t="s">
        <v>254</v>
      </c>
      <c r="K319" s="8" t="s">
        <v>512</v>
      </c>
      <c r="L319" s="8"/>
      <c r="M319" s="8" t="s">
        <v>69</v>
      </c>
      <c r="N319" s="13" t="str">
        <f>HYPERLINK("http://slimages.macys.com/is/image/MCY/902700 ")</f>
        <v xml:space="preserve">http://slimages.macys.com/is/image/MCY/902700 </v>
      </c>
    </row>
    <row r="320" spans="1:14" ht="48" x14ac:dyDescent="0.25">
      <c r="A320" s="12" t="s">
        <v>1001</v>
      </c>
      <c r="B320" s="8" t="s">
        <v>1002</v>
      </c>
      <c r="C320" s="9">
        <v>1</v>
      </c>
      <c r="D320" s="10">
        <v>15.5</v>
      </c>
      <c r="E320" s="10">
        <v>34.99</v>
      </c>
      <c r="F320" s="9" t="s">
        <v>1003</v>
      </c>
      <c r="G320" s="8" t="s">
        <v>454</v>
      </c>
      <c r="H320" s="12" t="s">
        <v>46</v>
      </c>
      <c r="I320" s="10">
        <v>8.3461538461538449</v>
      </c>
      <c r="J320" s="8" t="s">
        <v>313</v>
      </c>
      <c r="K320" s="8" t="s">
        <v>648</v>
      </c>
      <c r="L320" s="8"/>
      <c r="M320" s="8"/>
      <c r="N320" s="13" t="str">
        <f>HYPERLINK("http://slimages.macys.com/is/image/MCY/19411806 ")</f>
        <v xml:space="preserve">http://slimages.macys.com/is/image/MCY/19411806 </v>
      </c>
    </row>
    <row r="321" spans="1:14" ht="48" x14ac:dyDescent="0.25">
      <c r="A321" s="12" t="s">
        <v>1004</v>
      </c>
      <c r="B321" s="8" t="s">
        <v>1005</v>
      </c>
      <c r="C321" s="9">
        <v>1</v>
      </c>
      <c r="D321" s="10">
        <v>15.25</v>
      </c>
      <c r="E321" s="10">
        <v>29.99</v>
      </c>
      <c r="F321" s="9" t="s">
        <v>1006</v>
      </c>
      <c r="G321" s="8" t="s">
        <v>50</v>
      </c>
      <c r="H321" s="12"/>
      <c r="I321" s="10">
        <v>8.2115384615384617</v>
      </c>
      <c r="J321" s="8" t="s">
        <v>262</v>
      </c>
      <c r="K321" s="8" t="s">
        <v>1007</v>
      </c>
      <c r="L321" s="8" t="s">
        <v>79</v>
      </c>
      <c r="M321" s="8" t="s">
        <v>80</v>
      </c>
      <c r="N321" s="13" t="str">
        <f>HYPERLINK("http://slimages.macys.com/is/image/MCY/2369996 ")</f>
        <v xml:space="preserve">http://slimages.macys.com/is/image/MCY/2369996 </v>
      </c>
    </row>
    <row r="322" spans="1:14" ht="48" x14ac:dyDescent="0.25">
      <c r="A322" s="12" t="s">
        <v>1008</v>
      </c>
      <c r="B322" s="8" t="s">
        <v>1009</v>
      </c>
      <c r="C322" s="9">
        <v>2</v>
      </c>
      <c r="D322" s="10">
        <v>15</v>
      </c>
      <c r="E322" s="10">
        <v>29.99</v>
      </c>
      <c r="F322" s="9">
        <v>25438</v>
      </c>
      <c r="G322" s="8"/>
      <c r="H322" s="12" t="s">
        <v>433</v>
      </c>
      <c r="I322" s="10">
        <v>8.0769230769230766</v>
      </c>
      <c r="J322" s="8" t="s">
        <v>262</v>
      </c>
      <c r="K322" s="8" t="s">
        <v>695</v>
      </c>
      <c r="L322" s="8" t="s">
        <v>31</v>
      </c>
      <c r="M322" s="8" t="s">
        <v>54</v>
      </c>
      <c r="N322" s="13" t="str">
        <f>HYPERLINK("http://slimages.macys.com/is/image/MCY/2054538 ")</f>
        <v xml:space="preserve">http://slimages.macys.com/is/image/MCY/2054538 </v>
      </c>
    </row>
    <row r="323" spans="1:14" ht="48" x14ac:dyDescent="0.25">
      <c r="A323" s="12" t="s">
        <v>1010</v>
      </c>
      <c r="B323" s="8" t="s">
        <v>1011</v>
      </c>
      <c r="C323" s="9">
        <v>1</v>
      </c>
      <c r="D323" s="10">
        <v>15</v>
      </c>
      <c r="E323" s="10">
        <v>33.99</v>
      </c>
      <c r="F323" s="9">
        <v>97606</v>
      </c>
      <c r="G323" s="8" t="s">
        <v>50</v>
      </c>
      <c r="H323" s="12" t="s">
        <v>46</v>
      </c>
      <c r="I323" s="10">
        <v>8.0769230769230766</v>
      </c>
      <c r="J323" s="8" t="s">
        <v>313</v>
      </c>
      <c r="K323" s="8" t="s">
        <v>695</v>
      </c>
      <c r="L323" s="8" t="s">
        <v>31</v>
      </c>
      <c r="M323" s="8" t="s">
        <v>123</v>
      </c>
      <c r="N323" s="13" t="str">
        <f>HYPERLINK("http://slimages.macys.com/is/image/MCY/11416315 ")</f>
        <v xml:space="preserve">http://slimages.macys.com/is/image/MCY/11416315 </v>
      </c>
    </row>
    <row r="324" spans="1:14" ht="48" x14ac:dyDescent="0.25">
      <c r="A324" s="12" t="s">
        <v>1012</v>
      </c>
      <c r="B324" s="8" t="s">
        <v>1013</v>
      </c>
      <c r="C324" s="9">
        <v>1</v>
      </c>
      <c r="D324" s="10">
        <v>15</v>
      </c>
      <c r="E324" s="10">
        <v>29.99</v>
      </c>
      <c r="F324" s="9">
        <v>72352</v>
      </c>
      <c r="G324" s="8" t="s">
        <v>50</v>
      </c>
      <c r="H324" s="12" t="s">
        <v>46</v>
      </c>
      <c r="I324" s="10">
        <v>8.0769230769230766</v>
      </c>
      <c r="J324" s="8" t="s">
        <v>313</v>
      </c>
      <c r="K324" s="8" t="s">
        <v>1014</v>
      </c>
      <c r="L324" s="8"/>
      <c r="M324" s="8" t="s">
        <v>1015</v>
      </c>
      <c r="N324" s="13" t="str">
        <f>HYPERLINK("http://slimages.macys.com/is/image/MCY/816166 ")</f>
        <v xml:space="preserve">http://slimages.macys.com/is/image/MCY/816166 </v>
      </c>
    </row>
    <row r="325" spans="1:14" ht="48" x14ac:dyDescent="0.25">
      <c r="A325" s="12" t="s">
        <v>1016</v>
      </c>
      <c r="B325" s="8" t="s">
        <v>1017</v>
      </c>
      <c r="C325" s="9">
        <v>1</v>
      </c>
      <c r="D325" s="10">
        <v>15</v>
      </c>
      <c r="E325" s="10">
        <v>30</v>
      </c>
      <c r="F325" s="9" t="s">
        <v>1018</v>
      </c>
      <c r="G325" s="8" t="s">
        <v>35</v>
      </c>
      <c r="H325" s="12" t="s">
        <v>1019</v>
      </c>
      <c r="I325" s="10">
        <v>8.0769230769230766</v>
      </c>
      <c r="J325" s="8" t="s">
        <v>73</v>
      </c>
      <c r="K325" s="8" t="s">
        <v>600</v>
      </c>
      <c r="L325" s="8" t="s">
        <v>31</v>
      </c>
      <c r="M325" s="8" t="s">
        <v>1020</v>
      </c>
      <c r="N325" s="13" t="str">
        <f>HYPERLINK("http://slimages.macys.com/is/image/MCY/3156905 ")</f>
        <v xml:space="preserve">http://slimages.macys.com/is/image/MCY/3156905 </v>
      </c>
    </row>
    <row r="326" spans="1:14" ht="48" x14ac:dyDescent="0.25">
      <c r="A326" s="12" t="s">
        <v>1021</v>
      </c>
      <c r="B326" s="8" t="s">
        <v>1022</v>
      </c>
      <c r="C326" s="9">
        <v>1</v>
      </c>
      <c r="D326" s="10">
        <v>15</v>
      </c>
      <c r="E326" s="10">
        <v>29.93</v>
      </c>
      <c r="F326" s="9">
        <v>5092623</v>
      </c>
      <c r="G326" s="8" t="s">
        <v>137</v>
      </c>
      <c r="H326" s="12" t="s">
        <v>1023</v>
      </c>
      <c r="I326" s="10">
        <v>8.0769230769230766</v>
      </c>
      <c r="J326" s="8" t="s">
        <v>254</v>
      </c>
      <c r="K326" s="8" t="s">
        <v>139</v>
      </c>
      <c r="L326" s="8"/>
      <c r="M326" s="8"/>
      <c r="N326" s="13" t="str">
        <f>HYPERLINK("http://slimages.macys.com/is/image/MCY/1051767 ")</f>
        <v xml:space="preserve">http://slimages.macys.com/is/image/MCY/1051767 </v>
      </c>
    </row>
    <row r="327" spans="1:14" ht="48" x14ac:dyDescent="0.25">
      <c r="A327" s="12" t="s">
        <v>1024</v>
      </c>
      <c r="B327" s="8" t="s">
        <v>1025</v>
      </c>
      <c r="C327" s="9">
        <v>1</v>
      </c>
      <c r="D327" s="10">
        <v>15</v>
      </c>
      <c r="E327" s="10">
        <v>30</v>
      </c>
      <c r="F327" s="9" t="s">
        <v>1026</v>
      </c>
      <c r="G327" s="8" t="s">
        <v>35</v>
      </c>
      <c r="H327" s="12" t="s">
        <v>115</v>
      </c>
      <c r="I327" s="10">
        <v>8.0769230769230766</v>
      </c>
      <c r="J327" s="8" t="s">
        <v>73</v>
      </c>
      <c r="K327" s="8" t="s">
        <v>600</v>
      </c>
      <c r="L327" s="8" t="s">
        <v>286</v>
      </c>
      <c r="M327" s="8" t="s">
        <v>1027</v>
      </c>
      <c r="N327" s="13" t="str">
        <f>HYPERLINK("http://slimages.macys.com/is/image/MCY/11975383 ")</f>
        <v xml:space="preserve">http://slimages.macys.com/is/image/MCY/11975383 </v>
      </c>
    </row>
    <row r="328" spans="1:14" ht="48" x14ac:dyDescent="0.25">
      <c r="A328" s="12" t="s">
        <v>1028</v>
      </c>
      <c r="B328" s="8" t="s">
        <v>1029</v>
      </c>
      <c r="C328" s="9">
        <v>3</v>
      </c>
      <c r="D328" s="10">
        <v>15</v>
      </c>
      <c r="E328" s="10">
        <v>29.99</v>
      </c>
      <c r="F328" s="9">
        <v>75312</v>
      </c>
      <c r="G328" s="8" t="s">
        <v>35</v>
      </c>
      <c r="H328" s="12" t="s">
        <v>46</v>
      </c>
      <c r="I328" s="10">
        <v>8.0769230769230766</v>
      </c>
      <c r="J328" s="8" t="s">
        <v>29</v>
      </c>
      <c r="K328" s="8" t="s">
        <v>1030</v>
      </c>
      <c r="L328" s="8" t="s">
        <v>31</v>
      </c>
      <c r="M328" s="8" t="s">
        <v>1031</v>
      </c>
      <c r="N328" s="13" t="str">
        <f>HYPERLINK("http://slimages.macys.com/is/image/MCY/11611071 ")</f>
        <v xml:space="preserve">http://slimages.macys.com/is/image/MCY/11611071 </v>
      </c>
    </row>
    <row r="329" spans="1:14" ht="48" x14ac:dyDescent="0.25">
      <c r="A329" s="12" t="s">
        <v>1032</v>
      </c>
      <c r="B329" s="8" t="s">
        <v>1033</v>
      </c>
      <c r="C329" s="9">
        <v>1</v>
      </c>
      <c r="D329" s="10">
        <v>15</v>
      </c>
      <c r="E329" s="10">
        <v>29.99</v>
      </c>
      <c r="F329" s="9" t="s">
        <v>1034</v>
      </c>
      <c r="G329" s="8" t="s">
        <v>1035</v>
      </c>
      <c r="H329" s="12"/>
      <c r="I329" s="10">
        <v>8.0769230769230766</v>
      </c>
      <c r="J329" s="8" t="s">
        <v>254</v>
      </c>
      <c r="K329" s="8" t="s">
        <v>86</v>
      </c>
      <c r="L329" s="8" t="s">
        <v>31</v>
      </c>
      <c r="M329" s="8" t="s">
        <v>80</v>
      </c>
      <c r="N329" s="13" t="str">
        <f>HYPERLINK("http://slimages.macys.com/is/image/MCY/16310936 ")</f>
        <v xml:space="preserve">http://slimages.macys.com/is/image/MCY/16310936 </v>
      </c>
    </row>
    <row r="330" spans="1:14" ht="48" x14ac:dyDescent="0.25">
      <c r="A330" s="12" t="s">
        <v>1036</v>
      </c>
      <c r="B330" s="8" t="s">
        <v>1037</v>
      </c>
      <c r="C330" s="9">
        <v>6</v>
      </c>
      <c r="D330" s="10">
        <v>15</v>
      </c>
      <c r="E330" s="10">
        <v>39.99</v>
      </c>
      <c r="F330" s="9" t="s">
        <v>1038</v>
      </c>
      <c r="G330" s="8" t="s">
        <v>50</v>
      </c>
      <c r="H330" s="12" t="s">
        <v>46</v>
      </c>
      <c r="I330" s="10">
        <v>8.0769230769230766</v>
      </c>
      <c r="J330" s="8" t="s">
        <v>29</v>
      </c>
      <c r="K330" s="8" t="s">
        <v>618</v>
      </c>
      <c r="L330" s="8"/>
      <c r="M330" s="8"/>
      <c r="N330" s="13" t="str">
        <f>HYPERLINK("http://slimages.macys.com/is/image/MCY/18747465 ")</f>
        <v xml:space="preserve">http://slimages.macys.com/is/image/MCY/18747465 </v>
      </c>
    </row>
    <row r="331" spans="1:14" ht="48" x14ac:dyDescent="0.25">
      <c r="A331" s="12" t="s">
        <v>1039</v>
      </c>
      <c r="B331" s="8" t="s">
        <v>1040</v>
      </c>
      <c r="C331" s="9">
        <v>4</v>
      </c>
      <c r="D331" s="10">
        <v>15</v>
      </c>
      <c r="E331" s="10">
        <v>31</v>
      </c>
      <c r="F331" s="9">
        <v>314000</v>
      </c>
      <c r="G331" s="8" t="s">
        <v>50</v>
      </c>
      <c r="H331" s="12" t="s">
        <v>46</v>
      </c>
      <c r="I331" s="10">
        <v>8.0769230769230766</v>
      </c>
      <c r="J331" s="8" t="s">
        <v>37</v>
      </c>
      <c r="K331" s="8" t="s">
        <v>74</v>
      </c>
      <c r="L331" s="8"/>
      <c r="M331" s="8" t="s">
        <v>1041</v>
      </c>
      <c r="N331" s="13" t="str">
        <f>HYPERLINK("http://slimages.macys.com/is/image/MCY/1367015 ")</f>
        <v xml:space="preserve">http://slimages.macys.com/is/image/MCY/1367015 </v>
      </c>
    </row>
    <row r="332" spans="1:14" ht="48" x14ac:dyDescent="0.25">
      <c r="A332" s="12" t="s">
        <v>1042</v>
      </c>
      <c r="B332" s="8" t="s">
        <v>1043</v>
      </c>
      <c r="C332" s="9">
        <v>4</v>
      </c>
      <c r="D332" s="10">
        <v>15</v>
      </c>
      <c r="E332" s="10">
        <v>34.99</v>
      </c>
      <c r="F332" s="9" t="s">
        <v>1044</v>
      </c>
      <c r="G332" s="8" t="s">
        <v>35</v>
      </c>
      <c r="H332" s="12" t="s">
        <v>46</v>
      </c>
      <c r="I332" s="10">
        <v>8.0769230769230766</v>
      </c>
      <c r="J332" s="8" t="s">
        <v>313</v>
      </c>
      <c r="K332" s="8" t="s">
        <v>648</v>
      </c>
      <c r="L332" s="8" t="s">
        <v>286</v>
      </c>
      <c r="M332" s="8" t="s">
        <v>271</v>
      </c>
      <c r="N332" s="13" t="str">
        <f>HYPERLINK("http://slimages.macys.com/is/image/MCY/13329232 ")</f>
        <v xml:space="preserve">http://slimages.macys.com/is/image/MCY/13329232 </v>
      </c>
    </row>
    <row r="333" spans="1:14" ht="48" x14ac:dyDescent="0.25">
      <c r="A333" s="12" t="s">
        <v>1045</v>
      </c>
      <c r="B333" s="8" t="s">
        <v>1046</v>
      </c>
      <c r="C333" s="9">
        <v>1</v>
      </c>
      <c r="D333" s="10">
        <v>15</v>
      </c>
      <c r="E333" s="10">
        <v>30</v>
      </c>
      <c r="F333" s="9" t="s">
        <v>1047</v>
      </c>
      <c r="G333" s="8" t="s">
        <v>35</v>
      </c>
      <c r="H333" s="12" t="s">
        <v>425</v>
      </c>
      <c r="I333" s="10">
        <v>8.0769230769230766</v>
      </c>
      <c r="J333" s="8" t="s">
        <v>254</v>
      </c>
      <c r="K333" s="8" t="s">
        <v>116</v>
      </c>
      <c r="L333" s="8" t="s">
        <v>286</v>
      </c>
      <c r="M333" s="8" t="s">
        <v>271</v>
      </c>
      <c r="N333" s="13" t="str">
        <f>HYPERLINK("http://slimages.macys.com/is/image/MCY/10519855 ")</f>
        <v xml:space="preserve">http://slimages.macys.com/is/image/MCY/10519855 </v>
      </c>
    </row>
    <row r="334" spans="1:14" ht="48" x14ac:dyDescent="0.25">
      <c r="A334" s="12" t="s">
        <v>1048</v>
      </c>
      <c r="B334" s="8" t="s">
        <v>1049</v>
      </c>
      <c r="C334" s="9">
        <v>1</v>
      </c>
      <c r="D334" s="10">
        <v>14.91</v>
      </c>
      <c r="E334" s="10">
        <v>39.99</v>
      </c>
      <c r="F334" s="9" t="s">
        <v>1050</v>
      </c>
      <c r="G334" s="8" t="s">
        <v>50</v>
      </c>
      <c r="H334" s="12" t="s">
        <v>46</v>
      </c>
      <c r="I334" s="10">
        <v>8.0284615384615385</v>
      </c>
      <c r="J334" s="8" t="s">
        <v>561</v>
      </c>
      <c r="K334" s="8" t="s">
        <v>1051</v>
      </c>
      <c r="L334" s="8" t="s">
        <v>31</v>
      </c>
      <c r="M334" s="8" t="s">
        <v>1052</v>
      </c>
      <c r="N334" s="13" t="str">
        <f>HYPERLINK("http://slimages.macys.com/is/image/MCY/3424187 ")</f>
        <v xml:space="preserve">http://slimages.macys.com/is/image/MCY/3424187 </v>
      </c>
    </row>
    <row r="335" spans="1:14" ht="48" x14ac:dyDescent="0.25">
      <c r="A335" s="12" t="s">
        <v>1053</v>
      </c>
      <c r="B335" s="8" t="s">
        <v>1054</v>
      </c>
      <c r="C335" s="9">
        <v>1</v>
      </c>
      <c r="D335" s="10">
        <v>14.8</v>
      </c>
      <c r="E335" s="10">
        <v>40.99</v>
      </c>
      <c r="F335" s="9" t="s">
        <v>1055</v>
      </c>
      <c r="G335" s="8" t="s">
        <v>35</v>
      </c>
      <c r="H335" s="12" t="s">
        <v>46</v>
      </c>
      <c r="I335" s="10">
        <v>7.9692307692307685</v>
      </c>
      <c r="J335" s="8" t="s">
        <v>313</v>
      </c>
      <c r="K335" s="8" t="s">
        <v>648</v>
      </c>
      <c r="L335" s="8"/>
      <c r="M335" s="8"/>
      <c r="N335" s="13" t="str">
        <f>HYPERLINK("http://slimages.macys.com/is/image/MCY/16803997 ")</f>
        <v xml:space="preserve">http://slimages.macys.com/is/image/MCY/16803997 </v>
      </c>
    </row>
    <row r="336" spans="1:14" ht="96" x14ac:dyDescent="0.25">
      <c r="A336" s="12" t="s">
        <v>1056</v>
      </c>
      <c r="B336" s="8" t="s">
        <v>1057</v>
      </c>
      <c r="C336" s="9">
        <v>1</v>
      </c>
      <c r="D336" s="10">
        <v>14.51</v>
      </c>
      <c r="E336" s="10">
        <v>29.99</v>
      </c>
      <c r="F336" s="9" t="s">
        <v>1058</v>
      </c>
      <c r="G336" s="8" t="s">
        <v>475</v>
      </c>
      <c r="H336" s="12" t="s">
        <v>46</v>
      </c>
      <c r="I336" s="10">
        <v>7.813076923076923</v>
      </c>
      <c r="J336" s="8" t="s">
        <v>29</v>
      </c>
      <c r="K336" s="8" t="s">
        <v>1059</v>
      </c>
      <c r="L336" s="8" t="s">
        <v>31</v>
      </c>
      <c r="M336" s="8" t="s">
        <v>1060</v>
      </c>
      <c r="N336" s="13" t="str">
        <f>HYPERLINK("http://slimages.macys.com/is/image/MCY/8667157 ")</f>
        <v xml:space="preserve">http://slimages.macys.com/is/image/MCY/8667157 </v>
      </c>
    </row>
    <row r="337" spans="1:14" ht="60" x14ac:dyDescent="0.25">
      <c r="A337" s="12" t="s">
        <v>1061</v>
      </c>
      <c r="B337" s="8" t="s">
        <v>1062</v>
      </c>
      <c r="C337" s="9">
        <v>1</v>
      </c>
      <c r="D337" s="10">
        <v>14.5</v>
      </c>
      <c r="E337" s="10">
        <v>26.99</v>
      </c>
      <c r="F337" s="9" t="s">
        <v>1063</v>
      </c>
      <c r="G337" s="8" t="s">
        <v>475</v>
      </c>
      <c r="H337" s="12" t="s">
        <v>46</v>
      </c>
      <c r="I337" s="10">
        <v>7.8076923076923075</v>
      </c>
      <c r="J337" s="8" t="s">
        <v>37</v>
      </c>
      <c r="K337" s="8" t="s">
        <v>47</v>
      </c>
      <c r="L337" s="8"/>
      <c r="M337" s="8"/>
      <c r="N337" s="13" t="str">
        <f>HYPERLINK("http://slimages.macys.com/is/image/MCY/17971675 ")</f>
        <v xml:space="preserve">http://slimages.macys.com/is/image/MCY/17971675 </v>
      </c>
    </row>
    <row r="338" spans="1:14" ht="48" x14ac:dyDescent="0.25">
      <c r="A338" s="12" t="s">
        <v>1064</v>
      </c>
      <c r="B338" s="8" t="s">
        <v>1065</v>
      </c>
      <c r="C338" s="9">
        <v>1</v>
      </c>
      <c r="D338" s="10">
        <v>14.5</v>
      </c>
      <c r="E338" s="10">
        <v>32.99</v>
      </c>
      <c r="F338" s="9">
        <v>11392701</v>
      </c>
      <c r="G338" s="8" t="s">
        <v>50</v>
      </c>
      <c r="H338" s="12" t="s">
        <v>46</v>
      </c>
      <c r="I338" s="10">
        <v>7.8076923076923075</v>
      </c>
      <c r="J338" s="8" t="s">
        <v>313</v>
      </c>
      <c r="K338" s="8" t="s">
        <v>730</v>
      </c>
      <c r="L338" s="8" t="s">
        <v>31</v>
      </c>
      <c r="M338" s="8" t="s">
        <v>1066</v>
      </c>
      <c r="N338" s="13" t="str">
        <f>HYPERLINK("http://slimages.macys.com/is/image/MCY/12890046 ")</f>
        <v xml:space="preserve">http://slimages.macys.com/is/image/MCY/12890046 </v>
      </c>
    </row>
    <row r="339" spans="1:14" ht="48" x14ac:dyDescent="0.25">
      <c r="A339" s="12" t="s">
        <v>1067</v>
      </c>
      <c r="B339" s="8" t="s">
        <v>815</v>
      </c>
      <c r="C339" s="9">
        <v>1</v>
      </c>
      <c r="D339" s="10">
        <v>14.5</v>
      </c>
      <c r="E339" s="10">
        <v>32.99</v>
      </c>
      <c r="F339" s="9" t="s">
        <v>1068</v>
      </c>
      <c r="G339" s="8" t="s">
        <v>35</v>
      </c>
      <c r="H339" s="12" t="s">
        <v>46</v>
      </c>
      <c r="I339" s="10">
        <v>7.8076923076923075</v>
      </c>
      <c r="J339" s="8" t="s">
        <v>313</v>
      </c>
      <c r="K339" s="8" t="s">
        <v>648</v>
      </c>
      <c r="L339" s="8"/>
      <c r="M339" s="8"/>
      <c r="N339" s="13" t="str">
        <f>HYPERLINK("http://slimages.macys.com/is/image/MCY/16740630 ")</f>
        <v xml:space="preserve">http://slimages.macys.com/is/image/MCY/16740630 </v>
      </c>
    </row>
    <row r="340" spans="1:14" ht="48" x14ac:dyDescent="0.25">
      <c r="A340" s="12" t="s">
        <v>1069</v>
      </c>
      <c r="B340" s="8" t="s">
        <v>1070</v>
      </c>
      <c r="C340" s="9">
        <v>1</v>
      </c>
      <c r="D340" s="10">
        <v>14</v>
      </c>
      <c r="E340" s="10">
        <v>29.99</v>
      </c>
      <c r="F340" s="9" t="s">
        <v>1071</v>
      </c>
      <c r="G340" s="8" t="s">
        <v>647</v>
      </c>
      <c r="H340" s="12" t="s">
        <v>46</v>
      </c>
      <c r="I340" s="10">
        <v>7.5384615384615383</v>
      </c>
      <c r="J340" s="8" t="s">
        <v>313</v>
      </c>
      <c r="K340" s="8" t="s">
        <v>648</v>
      </c>
      <c r="L340" s="8"/>
      <c r="M340" s="8"/>
      <c r="N340" s="13" t="str">
        <f>HYPERLINK("http://slimages.macys.com/is/image/MCY/19411777 ")</f>
        <v xml:space="preserve">http://slimages.macys.com/is/image/MCY/19411777 </v>
      </c>
    </row>
    <row r="341" spans="1:14" ht="48" x14ac:dyDescent="0.25">
      <c r="A341" s="12" t="s">
        <v>1072</v>
      </c>
      <c r="B341" s="8" t="s">
        <v>1073</v>
      </c>
      <c r="C341" s="9">
        <v>1</v>
      </c>
      <c r="D341" s="10">
        <v>14</v>
      </c>
      <c r="E341" s="10">
        <v>36.99</v>
      </c>
      <c r="F341" s="9">
        <v>21727</v>
      </c>
      <c r="G341" s="8" t="s">
        <v>84</v>
      </c>
      <c r="H341" s="12" t="s">
        <v>46</v>
      </c>
      <c r="I341" s="10">
        <v>7.5384615384615383</v>
      </c>
      <c r="J341" s="8" t="s">
        <v>313</v>
      </c>
      <c r="K341" s="8" t="s">
        <v>1074</v>
      </c>
      <c r="L341" s="8" t="s">
        <v>31</v>
      </c>
      <c r="M341" s="8" t="s">
        <v>485</v>
      </c>
      <c r="N341" s="13" t="str">
        <f>HYPERLINK("http://slimages.macys.com/is/image/MCY/9880823 ")</f>
        <v xml:space="preserve">http://slimages.macys.com/is/image/MCY/9880823 </v>
      </c>
    </row>
    <row r="342" spans="1:14" ht="60" x14ac:dyDescent="0.25">
      <c r="A342" s="12" t="s">
        <v>1075</v>
      </c>
      <c r="B342" s="8" t="s">
        <v>1076</v>
      </c>
      <c r="C342" s="9">
        <v>1</v>
      </c>
      <c r="D342" s="10">
        <v>13.94</v>
      </c>
      <c r="E342" s="10">
        <v>34</v>
      </c>
      <c r="F342" s="9">
        <v>68111</v>
      </c>
      <c r="G342" s="8" t="s">
        <v>50</v>
      </c>
      <c r="H342" s="12" t="s">
        <v>46</v>
      </c>
      <c r="I342" s="10">
        <v>7.5061538461538451</v>
      </c>
      <c r="J342" s="8" t="s">
        <v>495</v>
      </c>
      <c r="K342" s="8" t="s">
        <v>594</v>
      </c>
      <c r="L342" s="8" t="s">
        <v>79</v>
      </c>
      <c r="M342" s="8" t="s">
        <v>1077</v>
      </c>
      <c r="N342" s="13" t="str">
        <f>HYPERLINK("http://images.bloomingdales.com/is/image/BLM/8967604 ")</f>
        <v xml:space="preserve">http://images.bloomingdales.com/is/image/BLM/8967604 </v>
      </c>
    </row>
    <row r="343" spans="1:14" ht="48" x14ac:dyDescent="0.25">
      <c r="A343" s="12" t="s">
        <v>1078</v>
      </c>
      <c r="B343" s="8" t="s">
        <v>1079</v>
      </c>
      <c r="C343" s="9">
        <v>1</v>
      </c>
      <c r="D343" s="10">
        <v>13.75</v>
      </c>
      <c r="E343" s="10">
        <v>29.99</v>
      </c>
      <c r="F343" s="9" t="s">
        <v>1080</v>
      </c>
      <c r="G343" s="8" t="s">
        <v>168</v>
      </c>
      <c r="H343" s="12" t="s">
        <v>46</v>
      </c>
      <c r="I343" s="10">
        <v>7.4038461538461533</v>
      </c>
      <c r="J343" s="8" t="s">
        <v>313</v>
      </c>
      <c r="K343" s="8" t="s">
        <v>648</v>
      </c>
      <c r="L343" s="8"/>
      <c r="M343" s="8"/>
      <c r="N343" s="13" t="str">
        <f>HYPERLINK("http://slimages.macys.com/is/image/MCY/18125767 ")</f>
        <v xml:space="preserve">http://slimages.macys.com/is/image/MCY/18125767 </v>
      </c>
    </row>
    <row r="344" spans="1:14" ht="48" x14ac:dyDescent="0.25">
      <c r="A344" s="12" t="s">
        <v>1081</v>
      </c>
      <c r="B344" s="8" t="s">
        <v>1082</v>
      </c>
      <c r="C344" s="9">
        <v>1</v>
      </c>
      <c r="D344" s="10">
        <v>13.72</v>
      </c>
      <c r="E344" s="10">
        <v>39.99</v>
      </c>
      <c r="F344" s="9" t="s">
        <v>1083</v>
      </c>
      <c r="G344" s="8" t="s">
        <v>50</v>
      </c>
      <c r="H344" s="12" t="s">
        <v>46</v>
      </c>
      <c r="I344" s="10">
        <v>7.3876923076923067</v>
      </c>
      <c r="J344" s="8" t="s">
        <v>561</v>
      </c>
      <c r="K344" s="8" t="s">
        <v>1084</v>
      </c>
      <c r="L344" s="8" t="s">
        <v>31</v>
      </c>
      <c r="M344" s="8" t="s">
        <v>1085</v>
      </c>
      <c r="N344" s="13" t="str">
        <f>HYPERLINK("http://slimages.macys.com/is/image/MCY/1250012 ")</f>
        <v xml:space="preserve">http://slimages.macys.com/is/image/MCY/1250012 </v>
      </c>
    </row>
    <row r="345" spans="1:14" ht="60" x14ac:dyDescent="0.25">
      <c r="A345" s="12" t="s">
        <v>1086</v>
      </c>
      <c r="B345" s="8" t="s">
        <v>1087</v>
      </c>
      <c r="C345" s="9">
        <v>1</v>
      </c>
      <c r="D345" s="10">
        <v>13.51</v>
      </c>
      <c r="E345" s="10">
        <v>29.99</v>
      </c>
      <c r="F345" s="9">
        <v>10014021500</v>
      </c>
      <c r="G345" s="8" t="s">
        <v>50</v>
      </c>
      <c r="H345" s="12" t="s">
        <v>46</v>
      </c>
      <c r="I345" s="10">
        <v>7.2746153846153847</v>
      </c>
      <c r="J345" s="8" t="s">
        <v>202</v>
      </c>
      <c r="K345" s="8" t="s">
        <v>408</v>
      </c>
      <c r="L345" s="8"/>
      <c r="M345" s="8"/>
      <c r="N345" s="13" t="str">
        <f>HYPERLINK("http://slimages.macys.com/is/image/MCY/21488705 ")</f>
        <v xml:space="preserve">http://slimages.macys.com/is/image/MCY/21488705 </v>
      </c>
    </row>
    <row r="346" spans="1:14" ht="48" x14ac:dyDescent="0.25">
      <c r="A346" s="12" t="s">
        <v>1088</v>
      </c>
      <c r="B346" s="8" t="s">
        <v>1089</v>
      </c>
      <c r="C346" s="9">
        <v>1</v>
      </c>
      <c r="D346" s="10">
        <v>13.25</v>
      </c>
      <c r="E346" s="10">
        <v>19.989999999999998</v>
      </c>
      <c r="F346" s="9" t="s">
        <v>1090</v>
      </c>
      <c r="G346" s="8" t="s">
        <v>50</v>
      </c>
      <c r="H346" s="12" t="s">
        <v>46</v>
      </c>
      <c r="I346" s="10">
        <v>7.134615384615385</v>
      </c>
      <c r="J346" s="8" t="s">
        <v>95</v>
      </c>
      <c r="K346" s="8" t="s">
        <v>1091</v>
      </c>
      <c r="L346" s="8"/>
      <c r="M346" s="8"/>
      <c r="N346" s="13" t="str">
        <f>HYPERLINK("http://slimages.macys.com/is/image/MCY/17818491 ")</f>
        <v xml:space="preserve">http://slimages.macys.com/is/image/MCY/17818491 </v>
      </c>
    </row>
    <row r="347" spans="1:14" ht="60" x14ac:dyDescent="0.25">
      <c r="A347" s="12" t="s">
        <v>1092</v>
      </c>
      <c r="B347" s="8" t="s">
        <v>1093</v>
      </c>
      <c r="C347" s="9">
        <v>1</v>
      </c>
      <c r="D347" s="10">
        <v>13.12</v>
      </c>
      <c r="E347" s="10">
        <v>32</v>
      </c>
      <c r="F347" s="9">
        <v>7264</v>
      </c>
      <c r="G347" s="8" t="s">
        <v>50</v>
      </c>
      <c r="H347" s="12"/>
      <c r="I347" s="10">
        <v>7.0646153846153839</v>
      </c>
      <c r="J347" s="8" t="s">
        <v>495</v>
      </c>
      <c r="K347" s="8" t="s">
        <v>594</v>
      </c>
      <c r="L347" s="8" t="s">
        <v>79</v>
      </c>
      <c r="M347" s="8" t="s">
        <v>80</v>
      </c>
      <c r="N347" s="13" t="str">
        <f>HYPERLINK("http://images.bloomingdales.com/is/image/BLM/9163479 ")</f>
        <v xml:space="preserve">http://images.bloomingdales.com/is/image/BLM/9163479 </v>
      </c>
    </row>
    <row r="348" spans="1:14" ht="48" x14ac:dyDescent="0.25">
      <c r="A348" s="12" t="s">
        <v>1094</v>
      </c>
      <c r="B348" s="8" t="s">
        <v>1095</v>
      </c>
      <c r="C348" s="9">
        <v>1</v>
      </c>
      <c r="D348" s="10">
        <v>13.04</v>
      </c>
      <c r="E348" s="10">
        <v>39.99</v>
      </c>
      <c r="F348" s="9" t="s">
        <v>1096</v>
      </c>
      <c r="G348" s="8" t="s">
        <v>454</v>
      </c>
      <c r="H348" s="12" t="s">
        <v>46</v>
      </c>
      <c r="I348" s="10">
        <v>7.0215384615384613</v>
      </c>
      <c r="J348" s="8" t="s">
        <v>29</v>
      </c>
      <c r="K348" s="8" t="s">
        <v>218</v>
      </c>
      <c r="L348" s="8" t="s">
        <v>31</v>
      </c>
      <c r="M348" s="8" t="s">
        <v>1097</v>
      </c>
      <c r="N348" s="13" t="str">
        <f>HYPERLINK("http://slimages.macys.com/is/image/MCY/3535112 ")</f>
        <v xml:space="preserve">http://slimages.macys.com/is/image/MCY/3535112 </v>
      </c>
    </row>
    <row r="349" spans="1:14" ht="60" x14ac:dyDescent="0.25">
      <c r="A349" s="12" t="s">
        <v>1098</v>
      </c>
      <c r="B349" s="8" t="s">
        <v>1099</v>
      </c>
      <c r="C349" s="9">
        <v>1</v>
      </c>
      <c r="D349" s="10">
        <v>13</v>
      </c>
      <c r="E349" s="10">
        <v>25.99</v>
      </c>
      <c r="F349" s="9" t="s">
        <v>1100</v>
      </c>
      <c r="G349" s="8" t="s">
        <v>137</v>
      </c>
      <c r="H349" s="12"/>
      <c r="I349" s="10">
        <v>6.9999999999999991</v>
      </c>
      <c r="J349" s="8" t="s">
        <v>37</v>
      </c>
      <c r="K349" s="8" t="s">
        <v>47</v>
      </c>
      <c r="L349" s="8"/>
      <c r="M349" s="8"/>
      <c r="N349" s="13" t="str">
        <f>HYPERLINK("http://slimages.macys.com/is/image/MCY/20489035 ")</f>
        <v xml:space="preserve">http://slimages.macys.com/is/image/MCY/20489035 </v>
      </c>
    </row>
    <row r="350" spans="1:14" ht="48" x14ac:dyDescent="0.25">
      <c r="A350" s="12" t="s">
        <v>1101</v>
      </c>
      <c r="B350" s="8" t="s">
        <v>1102</v>
      </c>
      <c r="C350" s="9">
        <v>2</v>
      </c>
      <c r="D350" s="10">
        <v>13</v>
      </c>
      <c r="E350" s="10">
        <v>29.99</v>
      </c>
      <c r="F350" s="9">
        <v>7186</v>
      </c>
      <c r="G350" s="8" t="s">
        <v>35</v>
      </c>
      <c r="H350" s="12"/>
      <c r="I350" s="10">
        <v>6.9999999999999991</v>
      </c>
      <c r="J350" s="8" t="s">
        <v>209</v>
      </c>
      <c r="K350" s="8" t="s">
        <v>1103</v>
      </c>
      <c r="L350" s="8" t="s">
        <v>31</v>
      </c>
      <c r="M350" s="8" t="s">
        <v>1104</v>
      </c>
      <c r="N350" s="13" t="str">
        <f>HYPERLINK("http://slimages.macys.com/is/image/MCY/13839501 ")</f>
        <v xml:space="preserve">http://slimages.macys.com/is/image/MCY/13839501 </v>
      </c>
    </row>
    <row r="351" spans="1:14" ht="48" x14ac:dyDescent="0.25">
      <c r="A351" s="12" t="s">
        <v>1105</v>
      </c>
      <c r="B351" s="8" t="s">
        <v>1106</v>
      </c>
      <c r="C351" s="9">
        <v>4</v>
      </c>
      <c r="D351" s="10">
        <v>13</v>
      </c>
      <c r="E351" s="10">
        <v>34.99</v>
      </c>
      <c r="F351" s="9">
        <v>23896</v>
      </c>
      <c r="G351" s="8" t="s">
        <v>1107</v>
      </c>
      <c r="H351" s="12" t="s">
        <v>46</v>
      </c>
      <c r="I351" s="10">
        <v>6.9999999999999991</v>
      </c>
      <c r="J351" s="8" t="s">
        <v>29</v>
      </c>
      <c r="K351" s="8" t="s">
        <v>919</v>
      </c>
      <c r="L351" s="8"/>
      <c r="M351" s="8"/>
      <c r="N351" s="13" t="str">
        <f>HYPERLINK("http://slimages.macys.com/is/image/MCY/20999295 ")</f>
        <v xml:space="preserve">http://slimages.macys.com/is/image/MCY/20999295 </v>
      </c>
    </row>
    <row r="352" spans="1:14" ht="60" x14ac:dyDescent="0.25">
      <c r="A352" s="12" t="s">
        <v>1108</v>
      </c>
      <c r="B352" s="8" t="s">
        <v>1109</v>
      </c>
      <c r="C352" s="9">
        <v>2</v>
      </c>
      <c r="D352" s="10">
        <v>13</v>
      </c>
      <c r="E352" s="10">
        <v>23.99</v>
      </c>
      <c r="F352" s="9" t="s">
        <v>1110</v>
      </c>
      <c r="G352" s="8" t="s">
        <v>1111</v>
      </c>
      <c r="H352" s="12" t="s">
        <v>46</v>
      </c>
      <c r="I352" s="10">
        <v>6.9999999999999991</v>
      </c>
      <c r="J352" s="8" t="s">
        <v>37</v>
      </c>
      <c r="K352" s="8" t="s">
        <v>47</v>
      </c>
      <c r="L352" s="8"/>
      <c r="M352" s="8"/>
      <c r="N352" s="13" t="str">
        <f>HYPERLINK("http://slimages.macys.com/is/image/MCY/17971691 ")</f>
        <v xml:space="preserve">http://slimages.macys.com/is/image/MCY/17971691 </v>
      </c>
    </row>
    <row r="353" spans="1:14" ht="48" x14ac:dyDescent="0.25">
      <c r="A353" s="12" t="s">
        <v>1105</v>
      </c>
      <c r="B353" s="8" t="s">
        <v>1106</v>
      </c>
      <c r="C353" s="9">
        <v>5</v>
      </c>
      <c r="D353" s="10">
        <v>13</v>
      </c>
      <c r="E353" s="10">
        <v>34.99</v>
      </c>
      <c r="F353" s="9">
        <v>23896</v>
      </c>
      <c r="G353" s="8" t="s">
        <v>1107</v>
      </c>
      <c r="H353" s="12" t="s">
        <v>46</v>
      </c>
      <c r="I353" s="10">
        <v>6.9999999999999991</v>
      </c>
      <c r="J353" s="8" t="s">
        <v>29</v>
      </c>
      <c r="K353" s="8" t="s">
        <v>919</v>
      </c>
      <c r="L353" s="8"/>
      <c r="M353" s="8"/>
      <c r="N353" s="13" t="str">
        <f>HYPERLINK("http://slimages.macys.com/is/image/MCY/20999295 ")</f>
        <v xml:space="preserve">http://slimages.macys.com/is/image/MCY/20999295 </v>
      </c>
    </row>
    <row r="354" spans="1:14" ht="60" x14ac:dyDescent="0.25">
      <c r="A354" s="12" t="s">
        <v>1112</v>
      </c>
      <c r="B354" s="8" t="s">
        <v>1113</v>
      </c>
      <c r="C354" s="9">
        <v>1</v>
      </c>
      <c r="D354" s="10">
        <v>13</v>
      </c>
      <c r="E354" s="10">
        <v>23.99</v>
      </c>
      <c r="F354" s="9" t="s">
        <v>1114</v>
      </c>
      <c r="G354" s="8" t="s">
        <v>1115</v>
      </c>
      <c r="H354" s="12" t="s">
        <v>46</v>
      </c>
      <c r="I354" s="10">
        <v>6.9999999999999991</v>
      </c>
      <c r="J354" s="8" t="s">
        <v>37</v>
      </c>
      <c r="K354" s="8" t="s">
        <v>47</v>
      </c>
      <c r="L354" s="8"/>
      <c r="M354" s="8"/>
      <c r="N354" s="13" t="str">
        <f>HYPERLINK("http://slimages.macys.com/is/image/MCY/17971689 ")</f>
        <v xml:space="preserve">http://slimages.macys.com/is/image/MCY/17971689 </v>
      </c>
    </row>
    <row r="355" spans="1:14" ht="48" x14ac:dyDescent="0.25">
      <c r="A355" s="12" t="s">
        <v>1105</v>
      </c>
      <c r="B355" s="8" t="s">
        <v>1106</v>
      </c>
      <c r="C355" s="9">
        <v>1</v>
      </c>
      <c r="D355" s="10">
        <v>13</v>
      </c>
      <c r="E355" s="10">
        <v>34.99</v>
      </c>
      <c r="F355" s="9">
        <v>23896</v>
      </c>
      <c r="G355" s="8" t="s">
        <v>1107</v>
      </c>
      <c r="H355" s="12" t="s">
        <v>46</v>
      </c>
      <c r="I355" s="10">
        <v>6.9999999999999991</v>
      </c>
      <c r="J355" s="8" t="s">
        <v>29</v>
      </c>
      <c r="K355" s="8" t="s">
        <v>919</v>
      </c>
      <c r="L355" s="8"/>
      <c r="M355" s="8"/>
      <c r="N355" s="13" t="str">
        <f>HYPERLINK("http://slimages.macys.com/is/image/MCY/20999295 ")</f>
        <v xml:space="preserve">http://slimages.macys.com/is/image/MCY/20999295 </v>
      </c>
    </row>
    <row r="356" spans="1:14" ht="48" x14ac:dyDescent="0.25">
      <c r="A356" s="12" t="s">
        <v>1105</v>
      </c>
      <c r="B356" s="8" t="s">
        <v>1106</v>
      </c>
      <c r="C356" s="9">
        <v>3</v>
      </c>
      <c r="D356" s="10">
        <v>13</v>
      </c>
      <c r="E356" s="10">
        <v>34.99</v>
      </c>
      <c r="F356" s="9">
        <v>23896</v>
      </c>
      <c r="G356" s="8" t="s">
        <v>1107</v>
      </c>
      <c r="H356" s="12" t="s">
        <v>46</v>
      </c>
      <c r="I356" s="10">
        <v>6.9999999999999991</v>
      </c>
      <c r="J356" s="8" t="s">
        <v>29</v>
      </c>
      <c r="K356" s="8" t="s">
        <v>919</v>
      </c>
      <c r="L356" s="8"/>
      <c r="M356" s="8"/>
      <c r="N356" s="13" t="str">
        <f>HYPERLINK("http://slimages.macys.com/is/image/MCY/20999295 ")</f>
        <v xml:space="preserve">http://slimages.macys.com/is/image/MCY/20999295 </v>
      </c>
    </row>
    <row r="357" spans="1:14" ht="60" x14ac:dyDescent="0.25">
      <c r="A357" s="12" t="s">
        <v>1112</v>
      </c>
      <c r="B357" s="8" t="s">
        <v>1113</v>
      </c>
      <c r="C357" s="9">
        <v>1</v>
      </c>
      <c r="D357" s="10">
        <v>13</v>
      </c>
      <c r="E357" s="10">
        <v>23.99</v>
      </c>
      <c r="F357" s="9" t="s">
        <v>1114</v>
      </c>
      <c r="G357" s="8" t="s">
        <v>1115</v>
      </c>
      <c r="H357" s="12" t="s">
        <v>46</v>
      </c>
      <c r="I357" s="10">
        <v>6.9999999999999991</v>
      </c>
      <c r="J357" s="8" t="s">
        <v>37</v>
      </c>
      <c r="K357" s="8" t="s">
        <v>47</v>
      </c>
      <c r="L357" s="8"/>
      <c r="M357" s="8"/>
      <c r="N357" s="13" t="str">
        <f>HYPERLINK("http://slimages.macys.com/is/image/MCY/17971689 ")</f>
        <v xml:space="preserve">http://slimages.macys.com/is/image/MCY/17971689 </v>
      </c>
    </row>
    <row r="358" spans="1:14" ht="48" x14ac:dyDescent="0.25">
      <c r="A358" s="12" t="s">
        <v>1116</v>
      </c>
      <c r="B358" s="8" t="s">
        <v>815</v>
      </c>
      <c r="C358" s="9">
        <v>1</v>
      </c>
      <c r="D358" s="10">
        <v>12.75</v>
      </c>
      <c r="E358" s="10">
        <v>28.99</v>
      </c>
      <c r="F358" s="9" t="s">
        <v>1117</v>
      </c>
      <c r="G358" s="8" t="s">
        <v>35</v>
      </c>
      <c r="H358" s="12" t="s">
        <v>46</v>
      </c>
      <c r="I358" s="10">
        <v>6.8653846153846159</v>
      </c>
      <c r="J358" s="8" t="s">
        <v>313</v>
      </c>
      <c r="K358" s="8" t="s">
        <v>648</v>
      </c>
      <c r="L358" s="8"/>
      <c r="M358" s="8"/>
      <c r="N358" s="13" t="str">
        <f>HYPERLINK("http://slimages.macys.com/is/image/MCY/18519108 ")</f>
        <v xml:space="preserve">http://slimages.macys.com/is/image/MCY/18519108 </v>
      </c>
    </row>
    <row r="359" spans="1:14" ht="48" x14ac:dyDescent="0.25">
      <c r="A359" s="12" t="s">
        <v>1118</v>
      </c>
      <c r="B359" s="8" t="s">
        <v>1119</v>
      </c>
      <c r="C359" s="9">
        <v>1</v>
      </c>
      <c r="D359" s="10">
        <v>12.51</v>
      </c>
      <c r="E359" s="10">
        <v>25.99</v>
      </c>
      <c r="F359" s="9">
        <v>12398904</v>
      </c>
      <c r="G359" s="8" t="s">
        <v>50</v>
      </c>
      <c r="H359" s="12" t="s">
        <v>51</v>
      </c>
      <c r="I359" s="10">
        <v>6.7361538461538455</v>
      </c>
      <c r="J359" s="8" t="s">
        <v>262</v>
      </c>
      <c r="K359" s="8" t="s">
        <v>730</v>
      </c>
      <c r="L359" s="8" t="s">
        <v>31</v>
      </c>
      <c r="M359" s="8" t="s">
        <v>80</v>
      </c>
      <c r="N359" s="13" t="str">
        <f>HYPERLINK("http://slimages.macys.com/is/image/MCY/16102881 ")</f>
        <v xml:space="preserve">http://slimages.macys.com/is/image/MCY/16102881 </v>
      </c>
    </row>
    <row r="360" spans="1:14" ht="60" x14ac:dyDescent="0.25">
      <c r="A360" s="12" t="s">
        <v>1120</v>
      </c>
      <c r="B360" s="8" t="s">
        <v>1121</v>
      </c>
      <c r="C360" s="9">
        <v>1</v>
      </c>
      <c r="D360" s="10">
        <v>12.5</v>
      </c>
      <c r="E360" s="10">
        <v>22.99</v>
      </c>
      <c r="F360" s="9" t="s">
        <v>1122</v>
      </c>
      <c r="G360" s="8" t="s">
        <v>137</v>
      </c>
      <c r="H360" s="12" t="s">
        <v>46</v>
      </c>
      <c r="I360" s="10">
        <v>6.7307692307692308</v>
      </c>
      <c r="J360" s="8" t="s">
        <v>37</v>
      </c>
      <c r="K360" s="8" t="s">
        <v>47</v>
      </c>
      <c r="L360" s="8"/>
      <c r="M360" s="8"/>
      <c r="N360" s="13" t="str">
        <f>HYPERLINK("http://slimages.macys.com/is/image/MCY/17971668 ")</f>
        <v xml:space="preserve">http://slimages.macys.com/is/image/MCY/17971668 </v>
      </c>
    </row>
    <row r="361" spans="1:14" ht="48" x14ac:dyDescent="0.25">
      <c r="A361" s="12" t="s">
        <v>1123</v>
      </c>
      <c r="B361" s="8" t="s">
        <v>1124</v>
      </c>
      <c r="C361" s="9">
        <v>3</v>
      </c>
      <c r="D361" s="10">
        <v>12.5</v>
      </c>
      <c r="E361" s="10">
        <v>24.99</v>
      </c>
      <c r="F361" s="9" t="s">
        <v>1125</v>
      </c>
      <c r="G361" s="8" t="s">
        <v>45</v>
      </c>
      <c r="H361" s="12" t="s">
        <v>1126</v>
      </c>
      <c r="I361" s="10">
        <v>6.7307692307692308</v>
      </c>
      <c r="J361" s="8" t="s">
        <v>37</v>
      </c>
      <c r="K361" s="8" t="s">
        <v>930</v>
      </c>
      <c r="L361" s="8" t="s">
        <v>31</v>
      </c>
      <c r="M361" s="8" t="s">
        <v>1127</v>
      </c>
      <c r="N361" s="13" t="str">
        <f>HYPERLINK("http://slimages.macys.com/is/image/MCY/13037360 ")</f>
        <v xml:space="preserve">http://slimages.macys.com/is/image/MCY/13037360 </v>
      </c>
    </row>
    <row r="362" spans="1:14" ht="60" x14ac:dyDescent="0.25">
      <c r="A362" s="12" t="s">
        <v>1128</v>
      </c>
      <c r="B362" s="8" t="s">
        <v>1129</v>
      </c>
      <c r="C362" s="9">
        <v>1</v>
      </c>
      <c r="D362" s="10">
        <v>12.5</v>
      </c>
      <c r="E362" s="10">
        <v>22.99</v>
      </c>
      <c r="F362" s="9" t="s">
        <v>1130</v>
      </c>
      <c r="G362" s="8" t="s">
        <v>681</v>
      </c>
      <c r="H362" s="12" t="s">
        <v>46</v>
      </c>
      <c r="I362" s="10">
        <v>6.7307692307692308</v>
      </c>
      <c r="J362" s="8" t="s">
        <v>37</v>
      </c>
      <c r="K362" s="8" t="s">
        <v>47</v>
      </c>
      <c r="L362" s="8"/>
      <c r="M362" s="8"/>
      <c r="N362" s="13" t="str">
        <f>HYPERLINK("http://slimages.macys.com/is/image/MCY/17971672 ")</f>
        <v xml:space="preserve">http://slimages.macys.com/is/image/MCY/17971672 </v>
      </c>
    </row>
    <row r="363" spans="1:14" ht="60" x14ac:dyDescent="0.25">
      <c r="A363" s="12" t="s">
        <v>1131</v>
      </c>
      <c r="B363" s="8" t="s">
        <v>1132</v>
      </c>
      <c r="C363" s="9">
        <v>2</v>
      </c>
      <c r="D363" s="10">
        <v>12.5</v>
      </c>
      <c r="E363" s="10">
        <v>22.99</v>
      </c>
      <c r="F363" s="9" t="s">
        <v>1133</v>
      </c>
      <c r="G363" s="8" t="s">
        <v>137</v>
      </c>
      <c r="H363" s="12" t="s">
        <v>46</v>
      </c>
      <c r="I363" s="10">
        <v>6.7307692307692308</v>
      </c>
      <c r="J363" s="8" t="s">
        <v>37</v>
      </c>
      <c r="K363" s="8" t="s">
        <v>47</v>
      </c>
      <c r="L363" s="8"/>
      <c r="M363" s="8"/>
      <c r="N363" s="13" t="str">
        <f>HYPERLINK("http://slimages.macys.com/is/image/MCY/17971662 ")</f>
        <v xml:space="preserve">http://slimages.macys.com/is/image/MCY/17971662 </v>
      </c>
    </row>
    <row r="364" spans="1:14" ht="60" x14ac:dyDescent="0.25">
      <c r="A364" s="12" t="s">
        <v>1134</v>
      </c>
      <c r="B364" s="8" t="s">
        <v>1135</v>
      </c>
      <c r="C364" s="9">
        <v>2</v>
      </c>
      <c r="D364" s="10">
        <v>12.5</v>
      </c>
      <c r="E364" s="10">
        <v>22.99</v>
      </c>
      <c r="F364" s="9" t="s">
        <v>1136</v>
      </c>
      <c r="G364" s="8" t="s">
        <v>1137</v>
      </c>
      <c r="H364" s="12" t="s">
        <v>46</v>
      </c>
      <c r="I364" s="10">
        <v>6.7307692307692308</v>
      </c>
      <c r="J364" s="8" t="s">
        <v>37</v>
      </c>
      <c r="K364" s="8" t="s">
        <v>47</v>
      </c>
      <c r="L364" s="8"/>
      <c r="M364" s="8"/>
      <c r="N364" s="13" t="str">
        <f>HYPERLINK("http://slimages.macys.com/is/image/MCY/17971661 ")</f>
        <v xml:space="preserve">http://slimages.macys.com/is/image/MCY/17971661 </v>
      </c>
    </row>
    <row r="365" spans="1:14" ht="60" x14ac:dyDescent="0.25">
      <c r="A365" s="12" t="s">
        <v>1138</v>
      </c>
      <c r="B365" s="8" t="s">
        <v>1139</v>
      </c>
      <c r="C365" s="9">
        <v>1</v>
      </c>
      <c r="D365" s="10">
        <v>12.5</v>
      </c>
      <c r="E365" s="10">
        <v>22.99</v>
      </c>
      <c r="F365" s="9" t="s">
        <v>1140</v>
      </c>
      <c r="G365" s="8" t="s">
        <v>45</v>
      </c>
      <c r="H365" s="12" t="s">
        <v>46</v>
      </c>
      <c r="I365" s="10">
        <v>6.7307692307692308</v>
      </c>
      <c r="J365" s="8" t="s">
        <v>37</v>
      </c>
      <c r="K365" s="8" t="s">
        <v>47</v>
      </c>
      <c r="L365" s="8"/>
      <c r="M365" s="8"/>
      <c r="N365" s="13" t="str">
        <f>HYPERLINK("http://slimages.macys.com/is/image/MCY/17971663 ")</f>
        <v xml:space="preserve">http://slimages.macys.com/is/image/MCY/17971663 </v>
      </c>
    </row>
    <row r="366" spans="1:14" ht="60" x14ac:dyDescent="0.25">
      <c r="A366" s="12" t="s">
        <v>1134</v>
      </c>
      <c r="B366" s="8" t="s">
        <v>1135</v>
      </c>
      <c r="C366" s="9">
        <v>1</v>
      </c>
      <c r="D366" s="10">
        <v>12.5</v>
      </c>
      <c r="E366" s="10">
        <v>22.99</v>
      </c>
      <c r="F366" s="9" t="s">
        <v>1136</v>
      </c>
      <c r="G366" s="8" t="s">
        <v>1137</v>
      </c>
      <c r="H366" s="12" t="s">
        <v>46</v>
      </c>
      <c r="I366" s="10">
        <v>6.7307692307692308</v>
      </c>
      <c r="J366" s="8" t="s">
        <v>37</v>
      </c>
      <c r="K366" s="8" t="s">
        <v>47</v>
      </c>
      <c r="L366" s="8"/>
      <c r="M366" s="8"/>
      <c r="N366" s="13" t="str">
        <f>HYPERLINK("http://slimages.macys.com/is/image/MCY/17971661 ")</f>
        <v xml:space="preserve">http://slimages.macys.com/is/image/MCY/17971661 </v>
      </c>
    </row>
    <row r="367" spans="1:14" ht="48" x14ac:dyDescent="0.25">
      <c r="A367" s="12" t="s">
        <v>1141</v>
      </c>
      <c r="B367" s="8" t="s">
        <v>1142</v>
      </c>
      <c r="C367" s="9">
        <v>1</v>
      </c>
      <c r="D367" s="10">
        <v>12.5</v>
      </c>
      <c r="E367" s="10">
        <v>19.989999999999998</v>
      </c>
      <c r="F367" s="9">
        <v>25867</v>
      </c>
      <c r="G367" s="8" t="s">
        <v>50</v>
      </c>
      <c r="H367" s="12" t="s">
        <v>1143</v>
      </c>
      <c r="I367" s="10">
        <v>6.7307692307692308</v>
      </c>
      <c r="J367" s="8" t="s">
        <v>262</v>
      </c>
      <c r="K367" s="8" t="s">
        <v>695</v>
      </c>
      <c r="L367" s="8" t="s">
        <v>31</v>
      </c>
      <c r="M367" s="8" t="s">
        <v>54</v>
      </c>
      <c r="N367" s="13" t="str">
        <f>HYPERLINK("http://slimages.macys.com/is/image/MCY/1257996 ")</f>
        <v xml:space="preserve">http://slimages.macys.com/is/image/MCY/1257996 </v>
      </c>
    </row>
    <row r="368" spans="1:14" ht="60" x14ac:dyDescent="0.25">
      <c r="A368" s="12" t="s">
        <v>1138</v>
      </c>
      <c r="B368" s="8" t="s">
        <v>1139</v>
      </c>
      <c r="C368" s="9">
        <v>1</v>
      </c>
      <c r="D368" s="10">
        <v>12.5</v>
      </c>
      <c r="E368" s="10">
        <v>22.99</v>
      </c>
      <c r="F368" s="9" t="s">
        <v>1140</v>
      </c>
      <c r="G368" s="8" t="s">
        <v>45</v>
      </c>
      <c r="H368" s="12" t="s">
        <v>46</v>
      </c>
      <c r="I368" s="10">
        <v>6.7307692307692308</v>
      </c>
      <c r="J368" s="8" t="s">
        <v>37</v>
      </c>
      <c r="K368" s="8" t="s">
        <v>47</v>
      </c>
      <c r="L368" s="8"/>
      <c r="M368" s="8"/>
      <c r="N368" s="13" t="str">
        <f>HYPERLINK("http://slimages.macys.com/is/image/MCY/17971663 ")</f>
        <v xml:space="preserve">http://slimages.macys.com/is/image/MCY/17971663 </v>
      </c>
    </row>
    <row r="369" spans="1:14" ht="48" x14ac:dyDescent="0.25">
      <c r="A369" s="12" t="s">
        <v>1144</v>
      </c>
      <c r="B369" s="8" t="s">
        <v>1145</v>
      </c>
      <c r="C369" s="9">
        <v>2</v>
      </c>
      <c r="D369" s="10">
        <v>12.5</v>
      </c>
      <c r="E369" s="10">
        <v>24.99</v>
      </c>
      <c r="F369" s="9">
        <v>97701</v>
      </c>
      <c r="G369" s="8" t="s">
        <v>50</v>
      </c>
      <c r="H369" s="12" t="s">
        <v>46</v>
      </c>
      <c r="I369" s="10">
        <v>6.7307692307692308</v>
      </c>
      <c r="J369" s="8" t="s">
        <v>313</v>
      </c>
      <c r="K369" s="8" t="s">
        <v>695</v>
      </c>
      <c r="L369" s="8" t="s">
        <v>31</v>
      </c>
      <c r="M369" s="8" t="s">
        <v>1146</v>
      </c>
      <c r="N369" s="13" t="str">
        <f>HYPERLINK("http://slimages.macys.com/is/image/MCY/12696263 ")</f>
        <v xml:space="preserve">http://slimages.macys.com/is/image/MCY/12696263 </v>
      </c>
    </row>
    <row r="370" spans="1:14" ht="60" x14ac:dyDescent="0.25">
      <c r="A370" s="12" t="s">
        <v>1147</v>
      </c>
      <c r="B370" s="8" t="s">
        <v>1148</v>
      </c>
      <c r="C370" s="9">
        <v>1</v>
      </c>
      <c r="D370" s="10">
        <v>12.5</v>
      </c>
      <c r="E370" s="10">
        <v>22.99</v>
      </c>
      <c r="F370" s="9" t="s">
        <v>1149</v>
      </c>
      <c r="G370" s="8" t="s">
        <v>67</v>
      </c>
      <c r="H370" s="12" t="s">
        <v>46</v>
      </c>
      <c r="I370" s="10">
        <v>6.7307692307692308</v>
      </c>
      <c r="J370" s="8" t="s">
        <v>37</v>
      </c>
      <c r="K370" s="8" t="s">
        <v>47</v>
      </c>
      <c r="L370" s="8"/>
      <c r="M370" s="8"/>
      <c r="N370" s="13" t="str">
        <f>HYPERLINK("http://slimages.macys.com/is/image/MCY/17971676 ")</f>
        <v xml:space="preserve">http://slimages.macys.com/is/image/MCY/17971676 </v>
      </c>
    </row>
    <row r="371" spans="1:14" ht="60" x14ac:dyDescent="0.25">
      <c r="A371" s="12" t="s">
        <v>1134</v>
      </c>
      <c r="B371" s="8" t="s">
        <v>1135</v>
      </c>
      <c r="C371" s="9">
        <v>1</v>
      </c>
      <c r="D371" s="10">
        <v>12.5</v>
      </c>
      <c r="E371" s="10">
        <v>22.99</v>
      </c>
      <c r="F371" s="9" t="s">
        <v>1136</v>
      </c>
      <c r="G371" s="8" t="s">
        <v>1137</v>
      </c>
      <c r="H371" s="12" t="s">
        <v>46</v>
      </c>
      <c r="I371" s="10">
        <v>6.7307692307692308</v>
      </c>
      <c r="J371" s="8" t="s">
        <v>37</v>
      </c>
      <c r="K371" s="8" t="s">
        <v>47</v>
      </c>
      <c r="L371" s="8"/>
      <c r="M371" s="8"/>
      <c r="N371" s="13" t="str">
        <f>HYPERLINK("http://slimages.macys.com/is/image/MCY/17971661 ")</f>
        <v xml:space="preserve">http://slimages.macys.com/is/image/MCY/17971661 </v>
      </c>
    </row>
    <row r="372" spans="1:14" ht="60" x14ac:dyDescent="0.25">
      <c r="A372" s="12" t="s">
        <v>1120</v>
      </c>
      <c r="B372" s="8" t="s">
        <v>1121</v>
      </c>
      <c r="C372" s="9">
        <v>1</v>
      </c>
      <c r="D372" s="10">
        <v>12.5</v>
      </c>
      <c r="E372" s="10">
        <v>22.99</v>
      </c>
      <c r="F372" s="9" t="s">
        <v>1122</v>
      </c>
      <c r="G372" s="8" t="s">
        <v>137</v>
      </c>
      <c r="H372" s="12" t="s">
        <v>46</v>
      </c>
      <c r="I372" s="10">
        <v>6.7307692307692308</v>
      </c>
      <c r="J372" s="8" t="s">
        <v>37</v>
      </c>
      <c r="K372" s="8" t="s">
        <v>47</v>
      </c>
      <c r="L372" s="8"/>
      <c r="M372" s="8"/>
      <c r="N372" s="13" t="str">
        <f>HYPERLINK("http://slimages.macys.com/is/image/MCY/17971668 ")</f>
        <v xml:space="preserve">http://slimages.macys.com/is/image/MCY/17971668 </v>
      </c>
    </row>
    <row r="373" spans="1:14" ht="48" x14ac:dyDescent="0.25">
      <c r="A373" s="12" t="s">
        <v>1150</v>
      </c>
      <c r="B373" s="8" t="s">
        <v>1151</v>
      </c>
      <c r="C373" s="9">
        <v>1</v>
      </c>
      <c r="D373" s="10">
        <v>12.5</v>
      </c>
      <c r="E373" s="10">
        <v>24.99</v>
      </c>
      <c r="F373" s="9">
        <v>27008</v>
      </c>
      <c r="G373" s="8"/>
      <c r="H373" s="12" t="s">
        <v>1152</v>
      </c>
      <c r="I373" s="10">
        <v>6.7307692307692308</v>
      </c>
      <c r="J373" s="8" t="s">
        <v>262</v>
      </c>
      <c r="K373" s="8" t="s">
        <v>695</v>
      </c>
      <c r="L373" s="8"/>
      <c r="M373" s="8"/>
      <c r="N373" s="13" t="str">
        <f>HYPERLINK("http://slimages.macys.com/is/image/MCY/18507216 ")</f>
        <v xml:space="preserve">http://slimages.macys.com/is/image/MCY/18507216 </v>
      </c>
    </row>
    <row r="374" spans="1:14" ht="48" x14ac:dyDescent="0.25">
      <c r="A374" s="12" t="s">
        <v>1153</v>
      </c>
      <c r="B374" s="8" t="s">
        <v>1154</v>
      </c>
      <c r="C374" s="9">
        <v>1</v>
      </c>
      <c r="D374" s="10">
        <v>12.5</v>
      </c>
      <c r="E374" s="10">
        <v>32.99</v>
      </c>
      <c r="F374" s="9" t="s">
        <v>1155</v>
      </c>
      <c r="G374" s="8" t="s">
        <v>45</v>
      </c>
      <c r="H374" s="12" t="s">
        <v>46</v>
      </c>
      <c r="I374" s="10">
        <v>6.7307692307692308</v>
      </c>
      <c r="J374" s="8" t="s">
        <v>29</v>
      </c>
      <c r="K374" s="8" t="s">
        <v>618</v>
      </c>
      <c r="L374" s="8"/>
      <c r="M374" s="8"/>
      <c r="N374" s="13" t="str">
        <f>HYPERLINK("http://slimages.macys.com/is/image/MCY/18747469 ")</f>
        <v xml:space="preserve">http://slimages.macys.com/is/image/MCY/18747469 </v>
      </c>
    </row>
    <row r="375" spans="1:14" ht="48" x14ac:dyDescent="0.25">
      <c r="A375" s="12" t="s">
        <v>1156</v>
      </c>
      <c r="B375" s="8" t="s">
        <v>1157</v>
      </c>
      <c r="C375" s="9">
        <v>1</v>
      </c>
      <c r="D375" s="10">
        <v>12.4</v>
      </c>
      <c r="E375" s="10">
        <v>32.99</v>
      </c>
      <c r="F375" s="9">
        <v>15746</v>
      </c>
      <c r="G375" s="8"/>
      <c r="H375" s="12"/>
      <c r="I375" s="10">
        <v>6.6769230769230763</v>
      </c>
      <c r="J375" s="8" t="s">
        <v>313</v>
      </c>
      <c r="K375" s="8" t="s">
        <v>695</v>
      </c>
      <c r="L375" s="8"/>
      <c r="M375" s="8" t="s">
        <v>54</v>
      </c>
      <c r="N375" s="13" t="str">
        <f>HYPERLINK("http://slimages.macys.com/is/image/MCY/1141884 ")</f>
        <v xml:space="preserve">http://slimages.macys.com/is/image/MCY/1141884 </v>
      </c>
    </row>
    <row r="376" spans="1:14" ht="60" x14ac:dyDescent="0.25">
      <c r="A376" s="12" t="s">
        <v>1158</v>
      </c>
      <c r="B376" s="8" t="s">
        <v>1159</v>
      </c>
      <c r="C376" s="9">
        <v>1</v>
      </c>
      <c r="D376" s="10">
        <v>12.3</v>
      </c>
      <c r="E376" s="10">
        <v>30</v>
      </c>
      <c r="F376" s="9">
        <v>72311</v>
      </c>
      <c r="G376" s="8" t="s">
        <v>773</v>
      </c>
      <c r="H376" s="12" t="s">
        <v>46</v>
      </c>
      <c r="I376" s="10">
        <v>6.6230769230769226</v>
      </c>
      <c r="J376" s="8" t="s">
        <v>495</v>
      </c>
      <c r="K376" s="8" t="s">
        <v>594</v>
      </c>
      <c r="L376" s="8" t="s">
        <v>79</v>
      </c>
      <c r="M376" s="8" t="s">
        <v>1077</v>
      </c>
      <c r="N376" s="13" t="str">
        <f>HYPERLINK("http://images.bloomingdales.com/is/image/BLM/9321938 ")</f>
        <v xml:space="preserve">http://images.bloomingdales.com/is/image/BLM/9321938 </v>
      </c>
    </row>
    <row r="377" spans="1:14" ht="48" x14ac:dyDescent="0.25">
      <c r="A377" s="12" t="s">
        <v>1160</v>
      </c>
      <c r="B377" s="8" t="s">
        <v>1161</v>
      </c>
      <c r="C377" s="9">
        <v>1</v>
      </c>
      <c r="D377" s="10">
        <v>12.1</v>
      </c>
      <c r="E377" s="10">
        <v>29.99</v>
      </c>
      <c r="F377" s="9" t="s">
        <v>1162</v>
      </c>
      <c r="G377" s="8" t="s">
        <v>1163</v>
      </c>
      <c r="H377" s="12"/>
      <c r="I377" s="10">
        <v>6.5153846153846153</v>
      </c>
      <c r="J377" s="8" t="s">
        <v>209</v>
      </c>
      <c r="K377" s="8" t="s">
        <v>1164</v>
      </c>
      <c r="L377" s="8" t="s">
        <v>31</v>
      </c>
      <c r="M377" s="8" t="s">
        <v>1165</v>
      </c>
      <c r="N377" s="13" t="str">
        <f>HYPERLINK("http://slimages.macys.com/is/image/MCY/3337113 ")</f>
        <v xml:space="preserve">http://slimages.macys.com/is/image/MCY/3337113 </v>
      </c>
    </row>
    <row r="378" spans="1:14" ht="60" x14ac:dyDescent="0.25">
      <c r="A378" s="12" t="s">
        <v>1166</v>
      </c>
      <c r="B378" s="8" t="s">
        <v>1167</v>
      </c>
      <c r="C378" s="9">
        <v>1</v>
      </c>
      <c r="D378" s="10">
        <v>12</v>
      </c>
      <c r="E378" s="10">
        <v>23.99</v>
      </c>
      <c r="F378" s="9" t="s">
        <v>1168</v>
      </c>
      <c r="G378" s="8"/>
      <c r="H378" s="12" t="s">
        <v>46</v>
      </c>
      <c r="I378" s="10">
        <v>6.4615384615384617</v>
      </c>
      <c r="J378" s="8" t="s">
        <v>37</v>
      </c>
      <c r="K378" s="8" t="s">
        <v>47</v>
      </c>
      <c r="L378" s="8" t="s">
        <v>31</v>
      </c>
      <c r="M378" s="8" t="s">
        <v>69</v>
      </c>
      <c r="N378" s="13" t="str">
        <f>HYPERLINK("http://slimages.macys.com/is/image/MCY/11469498 ")</f>
        <v xml:space="preserve">http://slimages.macys.com/is/image/MCY/11469498 </v>
      </c>
    </row>
    <row r="379" spans="1:14" ht="60" x14ac:dyDescent="0.25">
      <c r="A379" s="12" t="s">
        <v>1169</v>
      </c>
      <c r="B379" s="8" t="s">
        <v>1170</v>
      </c>
      <c r="C379" s="9">
        <v>1</v>
      </c>
      <c r="D379" s="10">
        <v>11.63</v>
      </c>
      <c r="E379" s="10">
        <v>29.99</v>
      </c>
      <c r="F379" s="9">
        <v>10005035100</v>
      </c>
      <c r="G379" s="8" t="s">
        <v>50</v>
      </c>
      <c r="H379" s="12"/>
      <c r="I379" s="10">
        <v>6.2623076923076919</v>
      </c>
      <c r="J379" s="8" t="s">
        <v>202</v>
      </c>
      <c r="K379" s="8" t="s">
        <v>203</v>
      </c>
      <c r="L379" s="8" t="s">
        <v>31</v>
      </c>
      <c r="M379" s="8" t="s">
        <v>69</v>
      </c>
      <c r="N379" s="13" t="str">
        <f>HYPERLINK("http://slimages.macys.com/is/image/MCY/14342974 ")</f>
        <v xml:space="preserve">http://slimages.macys.com/is/image/MCY/14342974 </v>
      </c>
    </row>
    <row r="380" spans="1:14" ht="48" x14ac:dyDescent="0.25">
      <c r="A380" s="12" t="s">
        <v>1171</v>
      </c>
      <c r="B380" s="8" t="s">
        <v>1172</v>
      </c>
      <c r="C380" s="9">
        <v>4</v>
      </c>
      <c r="D380" s="10">
        <v>11.5</v>
      </c>
      <c r="E380" s="10">
        <v>24</v>
      </c>
      <c r="F380" s="9">
        <v>314001</v>
      </c>
      <c r="G380" s="8" t="s">
        <v>50</v>
      </c>
      <c r="H380" s="12" t="s">
        <v>46</v>
      </c>
      <c r="I380" s="10">
        <v>6.1923076923076925</v>
      </c>
      <c r="J380" s="8" t="s">
        <v>37</v>
      </c>
      <c r="K380" s="8" t="s">
        <v>74</v>
      </c>
      <c r="L380" s="8"/>
      <c r="M380" s="8" t="s">
        <v>1041</v>
      </c>
      <c r="N380" s="13" t="str">
        <f>HYPERLINK("http://slimages.macys.com/is/image/MCY/2238402 ")</f>
        <v xml:space="preserve">http://slimages.macys.com/is/image/MCY/2238402 </v>
      </c>
    </row>
    <row r="381" spans="1:14" ht="48" x14ac:dyDescent="0.25">
      <c r="A381" s="12" t="s">
        <v>1173</v>
      </c>
      <c r="B381" s="8" t="s">
        <v>1174</v>
      </c>
      <c r="C381" s="9">
        <v>12</v>
      </c>
      <c r="D381" s="10">
        <v>11.47</v>
      </c>
      <c r="E381" s="10">
        <v>3.49</v>
      </c>
      <c r="F381" s="9" t="s">
        <v>1175</v>
      </c>
      <c r="G381" s="8" t="s">
        <v>35</v>
      </c>
      <c r="H381" s="12" t="s">
        <v>46</v>
      </c>
      <c r="I381" s="10">
        <v>6.1761538461538459</v>
      </c>
      <c r="J381" s="8" t="s">
        <v>313</v>
      </c>
      <c r="K381" s="8" t="s">
        <v>648</v>
      </c>
      <c r="L381" s="8" t="s">
        <v>31</v>
      </c>
      <c r="M381" s="8" t="s">
        <v>1176</v>
      </c>
      <c r="N381" s="13" t="str">
        <f>HYPERLINK("http://slimages.macys.com/is/image/MCY/14601072 ")</f>
        <v xml:space="preserve">http://slimages.macys.com/is/image/MCY/14601072 </v>
      </c>
    </row>
    <row r="382" spans="1:14" ht="48" x14ac:dyDescent="0.25">
      <c r="A382" s="12" t="s">
        <v>1177</v>
      </c>
      <c r="B382" s="8" t="s">
        <v>1178</v>
      </c>
      <c r="C382" s="9">
        <v>1</v>
      </c>
      <c r="D382" s="10">
        <v>11.47</v>
      </c>
      <c r="E382" s="10">
        <v>23.11</v>
      </c>
      <c r="F382" s="9">
        <v>175816</v>
      </c>
      <c r="G382" s="8" t="s">
        <v>67</v>
      </c>
      <c r="H382" s="12" t="s">
        <v>1179</v>
      </c>
      <c r="I382" s="10">
        <v>6.1761538461538459</v>
      </c>
      <c r="J382" s="8" t="s">
        <v>73</v>
      </c>
      <c r="K382" s="8" t="s">
        <v>74</v>
      </c>
      <c r="L382" s="8" t="s">
        <v>31</v>
      </c>
      <c r="M382" s="8" t="s">
        <v>1180</v>
      </c>
      <c r="N382" s="13" t="str">
        <f>HYPERLINK("http://slimages.macys.com/is/image/MCY/1519683 ")</f>
        <v xml:space="preserve">http://slimages.macys.com/is/image/MCY/1519683 </v>
      </c>
    </row>
    <row r="383" spans="1:14" ht="60" x14ac:dyDescent="0.25">
      <c r="A383" s="12" t="s">
        <v>1181</v>
      </c>
      <c r="B383" s="8" t="s">
        <v>1182</v>
      </c>
      <c r="C383" s="9">
        <v>1</v>
      </c>
      <c r="D383" s="10">
        <v>11.4</v>
      </c>
      <c r="E383" s="10">
        <v>31.99</v>
      </c>
      <c r="F383" s="9" t="s">
        <v>1183</v>
      </c>
      <c r="G383" s="8" t="s">
        <v>972</v>
      </c>
      <c r="H383" s="12" t="s">
        <v>46</v>
      </c>
      <c r="I383" s="10">
        <v>6.1384615384615389</v>
      </c>
      <c r="J383" s="8" t="s">
        <v>313</v>
      </c>
      <c r="K383" s="8" t="s">
        <v>648</v>
      </c>
      <c r="L383" s="8" t="s">
        <v>31</v>
      </c>
      <c r="M383" s="8" t="s">
        <v>1184</v>
      </c>
      <c r="N383" s="13" t="str">
        <f>HYPERLINK("http://slimages.macys.com/is/image/MCY/9602841 ")</f>
        <v xml:space="preserve">http://slimages.macys.com/is/image/MCY/9602841 </v>
      </c>
    </row>
    <row r="384" spans="1:14" ht="48" x14ac:dyDescent="0.25">
      <c r="A384" s="12" t="s">
        <v>1185</v>
      </c>
      <c r="B384" s="8" t="s">
        <v>1186</v>
      </c>
      <c r="C384" s="9">
        <v>2</v>
      </c>
      <c r="D384" s="10">
        <v>11.28</v>
      </c>
      <c r="E384" s="10">
        <v>34.99</v>
      </c>
      <c r="F384" s="9">
        <v>100141657</v>
      </c>
      <c r="G384" s="8" t="s">
        <v>50</v>
      </c>
      <c r="H384" s="12" t="s">
        <v>46</v>
      </c>
      <c r="I384" s="10">
        <v>6.0738461538461532</v>
      </c>
      <c r="J384" s="8" t="s">
        <v>561</v>
      </c>
      <c r="K384" s="8" t="s">
        <v>1187</v>
      </c>
      <c r="L384" s="8"/>
      <c r="M384" s="8"/>
      <c r="N384" s="13" t="str">
        <f>HYPERLINK("http://slimages.macys.com/is/image/MCY/1037036 ")</f>
        <v xml:space="preserve">http://slimages.macys.com/is/image/MCY/1037036 </v>
      </c>
    </row>
    <row r="385" spans="1:14" ht="48" x14ac:dyDescent="0.25">
      <c r="A385" s="12" t="s">
        <v>1188</v>
      </c>
      <c r="B385" s="8" t="s">
        <v>1189</v>
      </c>
      <c r="C385" s="9">
        <v>1</v>
      </c>
      <c r="D385" s="10">
        <v>11.2</v>
      </c>
      <c r="E385" s="10">
        <v>27.99</v>
      </c>
      <c r="F385" s="9">
        <v>22604</v>
      </c>
      <c r="G385" s="8" t="s">
        <v>50</v>
      </c>
      <c r="H385" s="12" t="s">
        <v>46</v>
      </c>
      <c r="I385" s="10">
        <v>6.0307692307692307</v>
      </c>
      <c r="J385" s="8" t="s">
        <v>313</v>
      </c>
      <c r="K385" s="8" t="s">
        <v>1074</v>
      </c>
      <c r="L385" s="8" t="s">
        <v>31</v>
      </c>
      <c r="M385" s="8" t="s">
        <v>426</v>
      </c>
      <c r="N385" s="13" t="str">
        <f>HYPERLINK("http://slimages.macys.com/is/image/MCY/15387330 ")</f>
        <v xml:space="preserve">http://slimages.macys.com/is/image/MCY/15387330 </v>
      </c>
    </row>
    <row r="386" spans="1:14" ht="48" x14ac:dyDescent="0.25">
      <c r="A386" s="12" t="s">
        <v>1190</v>
      </c>
      <c r="B386" s="8" t="s">
        <v>1191</v>
      </c>
      <c r="C386" s="9">
        <v>1</v>
      </c>
      <c r="D386" s="10">
        <v>11</v>
      </c>
      <c r="E386" s="10">
        <v>24.99</v>
      </c>
      <c r="F386" s="9" t="s">
        <v>1192</v>
      </c>
      <c r="G386" s="8" t="s">
        <v>137</v>
      </c>
      <c r="H386" s="12" t="s">
        <v>46</v>
      </c>
      <c r="I386" s="10">
        <v>5.9230769230769234</v>
      </c>
      <c r="J386" s="8" t="s">
        <v>313</v>
      </c>
      <c r="K386" s="8" t="s">
        <v>648</v>
      </c>
      <c r="L386" s="8"/>
      <c r="M386" s="8"/>
      <c r="N386" s="13" t="str">
        <f>HYPERLINK("http://slimages.macys.com/is/image/MCY/19411794 ")</f>
        <v xml:space="preserve">http://slimages.macys.com/is/image/MCY/19411794 </v>
      </c>
    </row>
    <row r="387" spans="1:14" ht="48" x14ac:dyDescent="0.25">
      <c r="A387" s="12" t="s">
        <v>1193</v>
      </c>
      <c r="B387" s="8" t="s">
        <v>1194</v>
      </c>
      <c r="C387" s="9">
        <v>7</v>
      </c>
      <c r="D387" s="10">
        <v>11</v>
      </c>
      <c r="E387" s="10">
        <v>24.99</v>
      </c>
      <c r="F387" s="9" t="s">
        <v>1195</v>
      </c>
      <c r="G387" s="8" t="s">
        <v>647</v>
      </c>
      <c r="H387" s="12" t="s">
        <v>46</v>
      </c>
      <c r="I387" s="10">
        <v>5.9230769230769234</v>
      </c>
      <c r="J387" s="8" t="s">
        <v>313</v>
      </c>
      <c r="K387" s="8" t="s">
        <v>648</v>
      </c>
      <c r="L387" s="8"/>
      <c r="M387" s="8"/>
      <c r="N387" s="13" t="str">
        <f>HYPERLINK("http://slimages.macys.com/is/image/MCY/19411812 ")</f>
        <v xml:space="preserve">http://slimages.macys.com/is/image/MCY/19411812 </v>
      </c>
    </row>
    <row r="388" spans="1:14" ht="48" x14ac:dyDescent="0.25">
      <c r="A388" s="12" t="s">
        <v>1193</v>
      </c>
      <c r="B388" s="8" t="s">
        <v>1194</v>
      </c>
      <c r="C388" s="9">
        <v>4</v>
      </c>
      <c r="D388" s="10">
        <v>11</v>
      </c>
      <c r="E388" s="10">
        <v>24.99</v>
      </c>
      <c r="F388" s="9" t="s">
        <v>1195</v>
      </c>
      <c r="G388" s="8" t="s">
        <v>647</v>
      </c>
      <c r="H388" s="12" t="s">
        <v>46</v>
      </c>
      <c r="I388" s="10">
        <v>5.9230769230769234</v>
      </c>
      <c r="J388" s="8" t="s">
        <v>313</v>
      </c>
      <c r="K388" s="8" t="s">
        <v>648</v>
      </c>
      <c r="L388" s="8"/>
      <c r="M388" s="8"/>
      <c r="N388" s="13" t="str">
        <f>HYPERLINK("http://slimages.macys.com/is/image/MCY/19411812 ")</f>
        <v xml:space="preserve">http://slimages.macys.com/is/image/MCY/19411812 </v>
      </c>
    </row>
    <row r="389" spans="1:14" ht="48" x14ac:dyDescent="0.25">
      <c r="A389" s="12" t="s">
        <v>1196</v>
      </c>
      <c r="B389" s="8" t="s">
        <v>1197</v>
      </c>
      <c r="C389" s="9">
        <v>1</v>
      </c>
      <c r="D389" s="10">
        <v>11</v>
      </c>
      <c r="E389" s="10">
        <v>23.99</v>
      </c>
      <c r="F389" s="9" t="s">
        <v>1198</v>
      </c>
      <c r="G389" s="8" t="s">
        <v>793</v>
      </c>
      <c r="H389" s="12" t="s">
        <v>46</v>
      </c>
      <c r="I389" s="10">
        <v>5.9230769230769234</v>
      </c>
      <c r="J389" s="8" t="s">
        <v>313</v>
      </c>
      <c r="K389" s="8" t="s">
        <v>1199</v>
      </c>
      <c r="L389" s="8" t="s">
        <v>31</v>
      </c>
      <c r="M389" s="8" t="s">
        <v>1200</v>
      </c>
      <c r="N389" s="13" t="str">
        <f>HYPERLINK("http://slimages.macys.com/is/image/MCY/15762232 ")</f>
        <v xml:space="preserve">http://slimages.macys.com/is/image/MCY/15762232 </v>
      </c>
    </row>
    <row r="390" spans="1:14" ht="48" x14ac:dyDescent="0.25">
      <c r="A390" s="12" t="s">
        <v>1193</v>
      </c>
      <c r="B390" s="8" t="s">
        <v>1194</v>
      </c>
      <c r="C390" s="9">
        <v>2</v>
      </c>
      <c r="D390" s="10">
        <v>11</v>
      </c>
      <c r="E390" s="10">
        <v>24.99</v>
      </c>
      <c r="F390" s="9" t="s">
        <v>1195</v>
      </c>
      <c r="G390" s="8" t="s">
        <v>647</v>
      </c>
      <c r="H390" s="12" t="s">
        <v>46</v>
      </c>
      <c r="I390" s="10">
        <v>5.9230769230769234</v>
      </c>
      <c r="J390" s="8" t="s">
        <v>313</v>
      </c>
      <c r="K390" s="8" t="s">
        <v>648</v>
      </c>
      <c r="L390" s="8"/>
      <c r="M390" s="8"/>
      <c r="N390" s="13" t="str">
        <f>HYPERLINK("http://slimages.macys.com/is/image/MCY/19411812 ")</f>
        <v xml:space="preserve">http://slimages.macys.com/is/image/MCY/19411812 </v>
      </c>
    </row>
    <row r="391" spans="1:14" ht="48" x14ac:dyDescent="0.25">
      <c r="A391" s="12" t="s">
        <v>1201</v>
      </c>
      <c r="B391" s="8" t="s">
        <v>1202</v>
      </c>
      <c r="C391" s="9">
        <v>1</v>
      </c>
      <c r="D391" s="10">
        <v>11</v>
      </c>
      <c r="E391" s="10">
        <v>22.99</v>
      </c>
      <c r="F391" s="9" t="s">
        <v>1203</v>
      </c>
      <c r="G391" s="8" t="s">
        <v>58</v>
      </c>
      <c r="H391" s="12"/>
      <c r="I391" s="10">
        <v>5.9230769230769234</v>
      </c>
      <c r="J391" s="8" t="s">
        <v>262</v>
      </c>
      <c r="K391" s="8" t="s">
        <v>1204</v>
      </c>
      <c r="L391" s="8" t="s">
        <v>31</v>
      </c>
      <c r="M391" s="8" t="s">
        <v>1205</v>
      </c>
      <c r="N391" s="13" t="str">
        <f>HYPERLINK("http://slimages.macys.com/is/image/MCY/10375000 ")</f>
        <v xml:space="preserve">http://slimages.macys.com/is/image/MCY/10375000 </v>
      </c>
    </row>
    <row r="392" spans="1:14" ht="48" x14ac:dyDescent="0.25">
      <c r="A392" s="12" t="s">
        <v>1206</v>
      </c>
      <c r="B392" s="8" t="s">
        <v>1207</v>
      </c>
      <c r="C392" s="9">
        <v>1</v>
      </c>
      <c r="D392" s="10">
        <v>10.99</v>
      </c>
      <c r="E392" s="10">
        <v>21.99</v>
      </c>
      <c r="F392" s="9">
        <v>303210</v>
      </c>
      <c r="G392" s="8" t="s">
        <v>50</v>
      </c>
      <c r="H392" s="12" t="s">
        <v>46</v>
      </c>
      <c r="I392" s="10">
        <v>5.9176923076923069</v>
      </c>
      <c r="J392" s="8" t="s">
        <v>262</v>
      </c>
      <c r="K392" s="8" t="s">
        <v>805</v>
      </c>
      <c r="L392" s="8" t="s">
        <v>31</v>
      </c>
      <c r="M392" s="8" t="s">
        <v>80</v>
      </c>
      <c r="N392" s="13" t="str">
        <f>HYPERLINK("http://slimages.macys.com/is/image/MCY/14339394 ")</f>
        <v xml:space="preserve">http://slimages.macys.com/is/image/MCY/14339394 </v>
      </c>
    </row>
    <row r="393" spans="1:14" ht="48" x14ac:dyDescent="0.25">
      <c r="A393" s="12" t="s">
        <v>1206</v>
      </c>
      <c r="B393" s="8" t="s">
        <v>1207</v>
      </c>
      <c r="C393" s="9">
        <v>1</v>
      </c>
      <c r="D393" s="10">
        <v>10.99</v>
      </c>
      <c r="E393" s="10">
        <v>21.99</v>
      </c>
      <c r="F393" s="9">
        <v>303210</v>
      </c>
      <c r="G393" s="8" t="s">
        <v>50</v>
      </c>
      <c r="H393" s="12" t="s">
        <v>46</v>
      </c>
      <c r="I393" s="10">
        <v>5.9176923076923069</v>
      </c>
      <c r="J393" s="8" t="s">
        <v>262</v>
      </c>
      <c r="K393" s="8" t="s">
        <v>805</v>
      </c>
      <c r="L393" s="8" t="s">
        <v>31</v>
      </c>
      <c r="M393" s="8" t="s">
        <v>80</v>
      </c>
      <c r="N393" s="13" t="str">
        <f>HYPERLINK("http://slimages.macys.com/is/image/MCY/14339394 ")</f>
        <v xml:space="preserve">http://slimages.macys.com/is/image/MCY/14339394 </v>
      </c>
    </row>
    <row r="394" spans="1:14" ht="48" x14ac:dyDescent="0.25">
      <c r="A394" s="12" t="s">
        <v>1208</v>
      </c>
      <c r="B394" s="8" t="s">
        <v>1209</v>
      </c>
      <c r="C394" s="9">
        <v>1</v>
      </c>
      <c r="D394" s="10">
        <v>10.99</v>
      </c>
      <c r="E394" s="10">
        <v>26.99</v>
      </c>
      <c r="F394" s="9" t="s">
        <v>1210</v>
      </c>
      <c r="G394" s="8" t="s">
        <v>137</v>
      </c>
      <c r="H394" s="12" t="s">
        <v>46</v>
      </c>
      <c r="I394" s="10">
        <v>5.9176923076923069</v>
      </c>
      <c r="J394" s="8" t="s">
        <v>29</v>
      </c>
      <c r="K394" s="8" t="s">
        <v>1211</v>
      </c>
      <c r="L394" s="8"/>
      <c r="M394" s="8"/>
      <c r="N394" s="13" t="str">
        <f>HYPERLINK("http://slimages.macys.com/is/image/MCY/18249284 ")</f>
        <v xml:space="preserve">http://slimages.macys.com/is/image/MCY/18249284 </v>
      </c>
    </row>
    <row r="395" spans="1:14" ht="48" x14ac:dyDescent="0.25">
      <c r="A395" s="12" t="s">
        <v>1206</v>
      </c>
      <c r="B395" s="8" t="s">
        <v>1207</v>
      </c>
      <c r="C395" s="9">
        <v>2</v>
      </c>
      <c r="D395" s="10">
        <v>10.99</v>
      </c>
      <c r="E395" s="10">
        <v>21.99</v>
      </c>
      <c r="F395" s="9">
        <v>303210</v>
      </c>
      <c r="G395" s="8" t="s">
        <v>50</v>
      </c>
      <c r="H395" s="12" t="s">
        <v>46</v>
      </c>
      <c r="I395" s="10">
        <v>5.9176923076923069</v>
      </c>
      <c r="J395" s="8" t="s">
        <v>262</v>
      </c>
      <c r="K395" s="8" t="s">
        <v>805</v>
      </c>
      <c r="L395" s="8" t="s">
        <v>31</v>
      </c>
      <c r="M395" s="8" t="s">
        <v>80</v>
      </c>
      <c r="N395" s="13" t="str">
        <f>HYPERLINK("http://slimages.macys.com/is/image/MCY/14339394 ")</f>
        <v xml:space="preserve">http://slimages.macys.com/is/image/MCY/14339394 </v>
      </c>
    </row>
    <row r="396" spans="1:14" ht="48" x14ac:dyDescent="0.25">
      <c r="A396" s="12" t="s">
        <v>1212</v>
      </c>
      <c r="B396" s="8" t="s">
        <v>1213</v>
      </c>
      <c r="C396" s="9">
        <v>1</v>
      </c>
      <c r="D396" s="10">
        <v>10.8</v>
      </c>
      <c r="E396" s="10">
        <v>20.99</v>
      </c>
      <c r="F396" s="9" t="s">
        <v>1214</v>
      </c>
      <c r="G396" s="8" t="s">
        <v>35</v>
      </c>
      <c r="H396" s="12" t="s">
        <v>46</v>
      </c>
      <c r="I396" s="10">
        <v>5.8153846153846152</v>
      </c>
      <c r="J396" s="8" t="s">
        <v>1215</v>
      </c>
      <c r="K396" s="8" t="s">
        <v>1216</v>
      </c>
      <c r="L396" s="8" t="s">
        <v>1217</v>
      </c>
      <c r="M396" s="8" t="s">
        <v>1218</v>
      </c>
      <c r="N396" s="13" t="str">
        <f>HYPERLINK("http://slimages.macys.com/is/image/MCY/16140347 ")</f>
        <v xml:space="preserve">http://slimages.macys.com/is/image/MCY/16140347 </v>
      </c>
    </row>
    <row r="397" spans="1:14" ht="48" x14ac:dyDescent="0.25">
      <c r="A397" s="12" t="s">
        <v>1219</v>
      </c>
      <c r="B397" s="8" t="s">
        <v>1220</v>
      </c>
      <c r="C397" s="9">
        <v>1</v>
      </c>
      <c r="D397" s="10">
        <v>10.79</v>
      </c>
      <c r="E397" s="10">
        <v>28.99</v>
      </c>
      <c r="F397" s="9" t="s">
        <v>1221</v>
      </c>
      <c r="G397" s="8" t="s">
        <v>50</v>
      </c>
      <c r="H397" s="12" t="s">
        <v>46</v>
      </c>
      <c r="I397" s="10">
        <v>5.81</v>
      </c>
      <c r="J397" s="8" t="s">
        <v>29</v>
      </c>
      <c r="K397" s="8" t="s">
        <v>476</v>
      </c>
      <c r="L397" s="8" t="s">
        <v>79</v>
      </c>
      <c r="M397" s="8" t="s">
        <v>376</v>
      </c>
      <c r="N397" s="13" t="str">
        <f>HYPERLINK("http://slimages.macys.com/is/image/MCY/11078175 ")</f>
        <v xml:space="preserve">http://slimages.macys.com/is/image/MCY/11078175 </v>
      </c>
    </row>
    <row r="398" spans="1:14" ht="48" x14ac:dyDescent="0.25">
      <c r="A398" s="12" t="s">
        <v>1222</v>
      </c>
      <c r="B398" s="8" t="s">
        <v>1223</v>
      </c>
      <c r="C398" s="9">
        <v>1</v>
      </c>
      <c r="D398" s="10">
        <v>10.75</v>
      </c>
      <c r="E398" s="10">
        <v>21.99</v>
      </c>
      <c r="F398" s="9" t="s">
        <v>1224</v>
      </c>
      <c r="G398" s="8"/>
      <c r="H398" s="12" t="s">
        <v>46</v>
      </c>
      <c r="I398" s="10">
        <v>5.7884615384615383</v>
      </c>
      <c r="J398" s="8" t="s">
        <v>29</v>
      </c>
      <c r="K398" s="8" t="s">
        <v>218</v>
      </c>
      <c r="L398" s="8" t="s">
        <v>31</v>
      </c>
      <c r="M398" s="8" t="s">
        <v>1225</v>
      </c>
      <c r="N398" s="13" t="str">
        <f>HYPERLINK("http://slimages.macys.com/is/image/MCY/9632098 ")</f>
        <v xml:space="preserve">http://slimages.macys.com/is/image/MCY/9632098 </v>
      </c>
    </row>
    <row r="399" spans="1:14" ht="48" x14ac:dyDescent="0.25">
      <c r="A399" s="12" t="s">
        <v>1226</v>
      </c>
      <c r="B399" s="8" t="s">
        <v>1227</v>
      </c>
      <c r="C399" s="9">
        <v>3</v>
      </c>
      <c r="D399" s="10">
        <v>10.65</v>
      </c>
      <c r="E399" s="10">
        <v>29.99</v>
      </c>
      <c r="F399" s="9">
        <v>10006893600</v>
      </c>
      <c r="G399" s="8" t="s">
        <v>50</v>
      </c>
      <c r="H399" s="12" t="s">
        <v>46</v>
      </c>
      <c r="I399" s="10">
        <v>5.7346153846153847</v>
      </c>
      <c r="J399" s="8" t="s">
        <v>202</v>
      </c>
      <c r="K399" s="8" t="s">
        <v>1228</v>
      </c>
      <c r="L399" s="8" t="s">
        <v>31</v>
      </c>
      <c r="M399" s="8" t="s">
        <v>123</v>
      </c>
      <c r="N399" s="13" t="str">
        <f>HYPERLINK("http://slimages.macys.com/is/image/MCY/13811631 ")</f>
        <v xml:space="preserve">http://slimages.macys.com/is/image/MCY/13811631 </v>
      </c>
    </row>
    <row r="400" spans="1:14" ht="48" x14ac:dyDescent="0.25">
      <c r="A400" s="12" t="s">
        <v>1229</v>
      </c>
      <c r="B400" s="8" t="s">
        <v>1230</v>
      </c>
      <c r="C400" s="9">
        <v>1</v>
      </c>
      <c r="D400" s="10">
        <v>10.5</v>
      </c>
      <c r="E400" s="10">
        <v>20.99</v>
      </c>
      <c r="F400" s="9">
        <v>5128046</v>
      </c>
      <c r="G400" s="8" t="s">
        <v>1231</v>
      </c>
      <c r="H400" s="12" t="s">
        <v>599</v>
      </c>
      <c r="I400" s="10">
        <v>5.6538461538461533</v>
      </c>
      <c r="J400" s="8" t="s">
        <v>254</v>
      </c>
      <c r="K400" s="8" t="s">
        <v>139</v>
      </c>
      <c r="L400" s="8" t="s">
        <v>31</v>
      </c>
      <c r="M400" s="8" t="s">
        <v>69</v>
      </c>
      <c r="N400" s="13" t="str">
        <f>HYPERLINK("http://slimages.macys.com/is/image/MCY/3277399 ")</f>
        <v xml:space="preserve">http://slimages.macys.com/is/image/MCY/3277399 </v>
      </c>
    </row>
    <row r="401" spans="1:14" ht="48" x14ac:dyDescent="0.25">
      <c r="A401" s="12" t="s">
        <v>1229</v>
      </c>
      <c r="B401" s="8" t="s">
        <v>1230</v>
      </c>
      <c r="C401" s="9">
        <v>1</v>
      </c>
      <c r="D401" s="10">
        <v>10.5</v>
      </c>
      <c r="E401" s="10">
        <v>20.99</v>
      </c>
      <c r="F401" s="9">
        <v>5128046</v>
      </c>
      <c r="G401" s="8" t="s">
        <v>1231</v>
      </c>
      <c r="H401" s="12" t="s">
        <v>599</v>
      </c>
      <c r="I401" s="10">
        <v>5.6538461538461533</v>
      </c>
      <c r="J401" s="8" t="s">
        <v>254</v>
      </c>
      <c r="K401" s="8" t="s">
        <v>139</v>
      </c>
      <c r="L401" s="8" t="s">
        <v>31</v>
      </c>
      <c r="M401" s="8" t="s">
        <v>69</v>
      </c>
      <c r="N401" s="13" t="str">
        <f>HYPERLINK("http://slimages.macys.com/is/image/MCY/3277399 ")</f>
        <v xml:space="preserve">http://slimages.macys.com/is/image/MCY/3277399 </v>
      </c>
    </row>
    <row r="402" spans="1:14" ht="48" x14ac:dyDescent="0.25">
      <c r="A402" s="12" t="s">
        <v>1232</v>
      </c>
      <c r="B402" s="8" t="s">
        <v>1233</v>
      </c>
      <c r="C402" s="9">
        <v>1</v>
      </c>
      <c r="D402" s="10">
        <v>10.5</v>
      </c>
      <c r="E402" s="10">
        <v>21</v>
      </c>
      <c r="F402" s="9">
        <v>50116402603</v>
      </c>
      <c r="G402" s="8" t="s">
        <v>137</v>
      </c>
      <c r="H402" s="12" t="s">
        <v>1234</v>
      </c>
      <c r="I402" s="10">
        <v>5.6538461538461533</v>
      </c>
      <c r="J402" s="8" t="s">
        <v>37</v>
      </c>
      <c r="K402" s="8" t="s">
        <v>267</v>
      </c>
      <c r="L402" s="8"/>
      <c r="M402" s="8" t="s">
        <v>39</v>
      </c>
      <c r="N402" s="13" t="str">
        <f>HYPERLINK("http://slimages.macys.com/is/image/MCY/860440 ")</f>
        <v xml:space="preserve">http://slimages.macys.com/is/image/MCY/860440 </v>
      </c>
    </row>
    <row r="403" spans="1:14" ht="48" x14ac:dyDescent="0.25">
      <c r="A403" s="12" t="s">
        <v>1229</v>
      </c>
      <c r="B403" s="8" t="s">
        <v>1230</v>
      </c>
      <c r="C403" s="9">
        <v>1</v>
      </c>
      <c r="D403" s="10">
        <v>10.5</v>
      </c>
      <c r="E403" s="10">
        <v>20.99</v>
      </c>
      <c r="F403" s="9">
        <v>5128046</v>
      </c>
      <c r="G403" s="8" t="s">
        <v>1231</v>
      </c>
      <c r="H403" s="12" t="s">
        <v>599</v>
      </c>
      <c r="I403" s="10">
        <v>5.6538461538461533</v>
      </c>
      <c r="J403" s="8" t="s">
        <v>254</v>
      </c>
      <c r="K403" s="8" t="s">
        <v>139</v>
      </c>
      <c r="L403" s="8" t="s">
        <v>31</v>
      </c>
      <c r="M403" s="8" t="s">
        <v>69</v>
      </c>
      <c r="N403" s="13" t="str">
        <f>HYPERLINK("http://slimages.macys.com/is/image/MCY/3277399 ")</f>
        <v xml:space="preserve">http://slimages.macys.com/is/image/MCY/3277399 </v>
      </c>
    </row>
    <row r="404" spans="1:14" ht="48" x14ac:dyDescent="0.25">
      <c r="A404" s="12" t="s">
        <v>1235</v>
      </c>
      <c r="B404" s="8" t="s">
        <v>1236</v>
      </c>
      <c r="C404" s="9">
        <v>2</v>
      </c>
      <c r="D404" s="10">
        <v>10.5</v>
      </c>
      <c r="E404" s="10">
        <v>20</v>
      </c>
      <c r="F404" s="9" t="s">
        <v>1237</v>
      </c>
      <c r="G404" s="8" t="s">
        <v>35</v>
      </c>
      <c r="H404" s="12" t="s">
        <v>1238</v>
      </c>
      <c r="I404" s="10">
        <v>5.6538461538461533</v>
      </c>
      <c r="J404" s="8" t="s">
        <v>254</v>
      </c>
      <c r="K404" s="8" t="s">
        <v>116</v>
      </c>
      <c r="L404" s="8" t="s">
        <v>31</v>
      </c>
      <c r="M404" s="8" t="s">
        <v>69</v>
      </c>
      <c r="N404" s="13" t="str">
        <f>HYPERLINK("http://slimages.macys.com/is/image/MCY/8090645 ")</f>
        <v xml:space="preserve">http://slimages.macys.com/is/image/MCY/8090645 </v>
      </c>
    </row>
    <row r="405" spans="1:14" ht="48" x14ac:dyDescent="0.25">
      <c r="A405" s="12" t="s">
        <v>1239</v>
      </c>
      <c r="B405" s="8" t="s">
        <v>1240</v>
      </c>
      <c r="C405" s="9">
        <v>1</v>
      </c>
      <c r="D405" s="10">
        <v>10.5</v>
      </c>
      <c r="E405" s="10">
        <v>20.99</v>
      </c>
      <c r="F405" s="9" t="s">
        <v>1241</v>
      </c>
      <c r="G405" s="8" t="s">
        <v>50</v>
      </c>
      <c r="H405" s="12" t="s">
        <v>1234</v>
      </c>
      <c r="I405" s="10">
        <v>5.6538461538461533</v>
      </c>
      <c r="J405" s="8" t="s">
        <v>37</v>
      </c>
      <c r="K405" s="8" t="s">
        <v>86</v>
      </c>
      <c r="L405" s="8"/>
      <c r="M405" s="8" t="s">
        <v>39</v>
      </c>
      <c r="N405" s="13" t="str">
        <f>HYPERLINK("http://slimages.macys.com/is/image/MCY/219305 ")</f>
        <v xml:space="preserve">http://slimages.macys.com/is/image/MCY/219305 </v>
      </c>
    </row>
    <row r="406" spans="1:14" ht="48" x14ac:dyDescent="0.25">
      <c r="A406" s="12" t="s">
        <v>1242</v>
      </c>
      <c r="B406" s="8" t="s">
        <v>1243</v>
      </c>
      <c r="C406" s="9">
        <v>1</v>
      </c>
      <c r="D406" s="10">
        <v>10.5</v>
      </c>
      <c r="E406" s="10">
        <v>20.99</v>
      </c>
      <c r="F406" s="9" t="s">
        <v>1244</v>
      </c>
      <c r="G406" s="8" t="s">
        <v>50</v>
      </c>
      <c r="H406" s="12" t="s">
        <v>1245</v>
      </c>
      <c r="I406" s="10">
        <v>5.6538461538461533</v>
      </c>
      <c r="J406" s="8" t="s">
        <v>37</v>
      </c>
      <c r="K406" s="8" t="s">
        <v>86</v>
      </c>
      <c r="L406" s="8"/>
      <c r="M406" s="8" t="s">
        <v>39</v>
      </c>
      <c r="N406" s="13" t="str">
        <f>HYPERLINK("http://slimages.macys.com/is/image/MCY/751033 ")</f>
        <v xml:space="preserve">http://slimages.macys.com/is/image/MCY/751033 </v>
      </c>
    </row>
    <row r="407" spans="1:14" ht="48" x14ac:dyDescent="0.25">
      <c r="A407" s="12" t="s">
        <v>1246</v>
      </c>
      <c r="B407" s="8" t="s">
        <v>1247</v>
      </c>
      <c r="C407" s="9">
        <v>10</v>
      </c>
      <c r="D407" s="10">
        <v>10.47</v>
      </c>
      <c r="E407" s="10">
        <v>24.99</v>
      </c>
      <c r="F407" s="9">
        <v>5289219</v>
      </c>
      <c r="G407" s="8" t="s">
        <v>133</v>
      </c>
      <c r="H407" s="12" t="s">
        <v>46</v>
      </c>
      <c r="I407" s="10">
        <v>5.6376923076923076</v>
      </c>
      <c r="J407" s="8" t="s">
        <v>313</v>
      </c>
      <c r="K407" s="8" t="s">
        <v>139</v>
      </c>
      <c r="L407" s="8"/>
      <c r="M407" s="8"/>
      <c r="N407" s="13" t="str">
        <f>HYPERLINK("http://slimages.macys.com/is/image/MCY/20691740 ")</f>
        <v xml:space="preserve">http://slimages.macys.com/is/image/MCY/20691740 </v>
      </c>
    </row>
    <row r="408" spans="1:14" ht="48" x14ac:dyDescent="0.25">
      <c r="A408" s="12" t="s">
        <v>1246</v>
      </c>
      <c r="B408" s="8" t="s">
        <v>1247</v>
      </c>
      <c r="C408" s="9">
        <v>1</v>
      </c>
      <c r="D408" s="10">
        <v>10.47</v>
      </c>
      <c r="E408" s="10">
        <v>24.99</v>
      </c>
      <c r="F408" s="9">
        <v>5289219</v>
      </c>
      <c r="G408" s="8" t="s">
        <v>133</v>
      </c>
      <c r="H408" s="12" t="s">
        <v>46</v>
      </c>
      <c r="I408" s="10">
        <v>5.6376923076923076</v>
      </c>
      <c r="J408" s="8" t="s">
        <v>313</v>
      </c>
      <c r="K408" s="8" t="s">
        <v>139</v>
      </c>
      <c r="L408" s="8"/>
      <c r="M408" s="8"/>
      <c r="N408" s="13" t="str">
        <f>HYPERLINK("http://slimages.macys.com/is/image/MCY/20691740 ")</f>
        <v xml:space="preserve">http://slimages.macys.com/is/image/MCY/20691740 </v>
      </c>
    </row>
    <row r="409" spans="1:14" ht="48" x14ac:dyDescent="0.25">
      <c r="A409" s="12" t="s">
        <v>1246</v>
      </c>
      <c r="B409" s="8" t="s">
        <v>1247</v>
      </c>
      <c r="C409" s="9">
        <v>2</v>
      </c>
      <c r="D409" s="10">
        <v>10.47</v>
      </c>
      <c r="E409" s="10">
        <v>24.99</v>
      </c>
      <c r="F409" s="9">
        <v>5289219</v>
      </c>
      <c r="G409" s="8" t="s">
        <v>133</v>
      </c>
      <c r="H409" s="12" t="s">
        <v>46</v>
      </c>
      <c r="I409" s="10">
        <v>5.6376923076923076</v>
      </c>
      <c r="J409" s="8" t="s">
        <v>313</v>
      </c>
      <c r="K409" s="8" t="s">
        <v>139</v>
      </c>
      <c r="L409" s="8"/>
      <c r="M409" s="8"/>
      <c r="N409" s="13" t="str">
        <f>HYPERLINK("http://slimages.macys.com/is/image/MCY/20691740 ")</f>
        <v xml:space="preserve">http://slimages.macys.com/is/image/MCY/20691740 </v>
      </c>
    </row>
    <row r="410" spans="1:14" ht="48" x14ac:dyDescent="0.25">
      <c r="A410" s="12" t="s">
        <v>1248</v>
      </c>
      <c r="B410" s="8" t="s">
        <v>1249</v>
      </c>
      <c r="C410" s="9">
        <v>3</v>
      </c>
      <c r="D410" s="10">
        <v>10.25</v>
      </c>
      <c r="E410" s="10">
        <v>23.99</v>
      </c>
      <c r="F410" s="9" t="s">
        <v>1250</v>
      </c>
      <c r="G410" s="8" t="s">
        <v>67</v>
      </c>
      <c r="H410" s="12" t="s">
        <v>1251</v>
      </c>
      <c r="I410" s="10">
        <v>5.5192307692307692</v>
      </c>
      <c r="J410" s="8" t="s">
        <v>262</v>
      </c>
      <c r="K410" s="8" t="s">
        <v>1252</v>
      </c>
      <c r="L410" s="8"/>
      <c r="M410" s="8"/>
      <c r="N410" s="13" t="str">
        <f>HYPERLINK("http://slimages.macys.com/is/image/MCY/17565367 ")</f>
        <v xml:space="preserve">http://slimages.macys.com/is/image/MCY/17565367 </v>
      </c>
    </row>
    <row r="411" spans="1:14" ht="48" x14ac:dyDescent="0.25">
      <c r="A411" s="12" t="s">
        <v>1253</v>
      </c>
      <c r="B411" s="8" t="s">
        <v>1254</v>
      </c>
      <c r="C411" s="9">
        <v>1</v>
      </c>
      <c r="D411" s="10">
        <v>10.17</v>
      </c>
      <c r="E411" s="10">
        <v>34.99</v>
      </c>
      <c r="F411" s="9">
        <v>100141658</v>
      </c>
      <c r="G411" s="8" t="s">
        <v>50</v>
      </c>
      <c r="H411" s="12" t="s">
        <v>46</v>
      </c>
      <c r="I411" s="10">
        <v>5.4761538461538457</v>
      </c>
      <c r="J411" s="8" t="s">
        <v>561</v>
      </c>
      <c r="K411" s="8" t="s">
        <v>1187</v>
      </c>
      <c r="L411" s="8"/>
      <c r="M411" s="8"/>
      <c r="N411" s="13" t="str">
        <f>HYPERLINK("http://slimages.macys.com/is/image/MCY/20323884 ")</f>
        <v xml:space="preserve">http://slimages.macys.com/is/image/MCY/20323884 </v>
      </c>
    </row>
    <row r="412" spans="1:14" ht="48" x14ac:dyDescent="0.25">
      <c r="A412" s="12" t="s">
        <v>1255</v>
      </c>
      <c r="B412" s="8" t="s">
        <v>1256</v>
      </c>
      <c r="C412" s="9">
        <v>2</v>
      </c>
      <c r="D412" s="10">
        <v>10.08</v>
      </c>
      <c r="E412" s="10">
        <v>29.99</v>
      </c>
      <c r="F412" s="9">
        <v>100145071</v>
      </c>
      <c r="G412" s="8" t="s">
        <v>50</v>
      </c>
      <c r="H412" s="12" t="s">
        <v>46</v>
      </c>
      <c r="I412" s="10">
        <v>5.4276923076923076</v>
      </c>
      <c r="J412" s="8" t="s">
        <v>29</v>
      </c>
      <c r="K412" s="8" t="s">
        <v>975</v>
      </c>
      <c r="L412" s="8"/>
      <c r="M412" s="8"/>
      <c r="N412" s="13" t="str">
        <f>HYPERLINK("http://slimages.macys.com/is/image/MCY/20323749 ")</f>
        <v xml:space="preserve">http://slimages.macys.com/is/image/MCY/20323749 </v>
      </c>
    </row>
    <row r="413" spans="1:14" ht="48" x14ac:dyDescent="0.25">
      <c r="A413" s="12" t="s">
        <v>1255</v>
      </c>
      <c r="B413" s="8" t="s">
        <v>1256</v>
      </c>
      <c r="C413" s="9">
        <v>2</v>
      </c>
      <c r="D413" s="10">
        <v>10.08</v>
      </c>
      <c r="E413" s="10">
        <v>29.99</v>
      </c>
      <c r="F413" s="9">
        <v>100145071</v>
      </c>
      <c r="G413" s="8" t="s">
        <v>50</v>
      </c>
      <c r="H413" s="12" t="s">
        <v>46</v>
      </c>
      <c r="I413" s="10">
        <v>5.4276923076923076</v>
      </c>
      <c r="J413" s="8" t="s">
        <v>29</v>
      </c>
      <c r="K413" s="8" t="s">
        <v>975</v>
      </c>
      <c r="L413" s="8"/>
      <c r="M413" s="8"/>
      <c r="N413" s="13" t="str">
        <f>HYPERLINK("http://slimages.macys.com/is/image/MCY/20323749 ")</f>
        <v xml:space="preserve">http://slimages.macys.com/is/image/MCY/20323749 </v>
      </c>
    </row>
    <row r="414" spans="1:14" ht="48" x14ac:dyDescent="0.25">
      <c r="A414" s="12" t="s">
        <v>1255</v>
      </c>
      <c r="B414" s="8" t="s">
        <v>1256</v>
      </c>
      <c r="C414" s="9">
        <v>4</v>
      </c>
      <c r="D414" s="10">
        <v>10.08</v>
      </c>
      <c r="E414" s="10">
        <v>29.99</v>
      </c>
      <c r="F414" s="9">
        <v>100145071</v>
      </c>
      <c r="G414" s="8" t="s">
        <v>50</v>
      </c>
      <c r="H414" s="12" t="s">
        <v>46</v>
      </c>
      <c r="I414" s="10">
        <v>5.4276923076923076</v>
      </c>
      <c r="J414" s="8" t="s">
        <v>29</v>
      </c>
      <c r="K414" s="8" t="s">
        <v>975</v>
      </c>
      <c r="L414" s="8"/>
      <c r="M414" s="8"/>
      <c r="N414" s="13" t="str">
        <f>HYPERLINK("http://slimages.macys.com/is/image/MCY/20323749 ")</f>
        <v xml:space="preserve">http://slimages.macys.com/is/image/MCY/20323749 </v>
      </c>
    </row>
    <row r="415" spans="1:14" ht="48" x14ac:dyDescent="0.25">
      <c r="A415" s="12" t="s">
        <v>1257</v>
      </c>
      <c r="B415" s="8" t="s">
        <v>1258</v>
      </c>
      <c r="C415" s="9">
        <v>1</v>
      </c>
      <c r="D415" s="10">
        <v>10</v>
      </c>
      <c r="E415" s="10">
        <v>20</v>
      </c>
      <c r="F415" s="9" t="s">
        <v>1259</v>
      </c>
      <c r="G415" s="8" t="s">
        <v>35</v>
      </c>
      <c r="H415" s="12" t="s">
        <v>599</v>
      </c>
      <c r="I415" s="10">
        <v>5.3846153846153841</v>
      </c>
      <c r="J415" s="8" t="s">
        <v>254</v>
      </c>
      <c r="K415" s="8" t="s">
        <v>116</v>
      </c>
      <c r="L415" s="8" t="s">
        <v>31</v>
      </c>
      <c r="M415" s="8" t="s">
        <v>271</v>
      </c>
      <c r="N415" s="13" t="str">
        <f>HYPERLINK("http://slimages.macys.com/is/image/MCY/9052515 ")</f>
        <v xml:space="preserve">http://slimages.macys.com/is/image/MCY/9052515 </v>
      </c>
    </row>
    <row r="416" spans="1:14" ht="48" x14ac:dyDescent="0.25">
      <c r="A416" s="12" t="s">
        <v>1260</v>
      </c>
      <c r="B416" s="8" t="s">
        <v>1261</v>
      </c>
      <c r="C416" s="9">
        <v>1</v>
      </c>
      <c r="D416" s="10">
        <v>10</v>
      </c>
      <c r="E416" s="10">
        <v>19.989999999999998</v>
      </c>
      <c r="F416" s="9" t="s">
        <v>1262</v>
      </c>
      <c r="G416" s="8" t="s">
        <v>168</v>
      </c>
      <c r="H416" s="12" t="s">
        <v>599</v>
      </c>
      <c r="I416" s="10">
        <v>5.3846153846153841</v>
      </c>
      <c r="J416" s="8" t="s">
        <v>254</v>
      </c>
      <c r="K416" s="8" t="s">
        <v>68</v>
      </c>
      <c r="L416" s="8"/>
      <c r="M416" s="8" t="s">
        <v>271</v>
      </c>
      <c r="N416" s="13" t="str">
        <f>HYPERLINK("http://slimages.macys.com/is/image/MCY/674962 ")</f>
        <v xml:space="preserve">http://slimages.macys.com/is/image/MCY/674962 </v>
      </c>
    </row>
    <row r="417" spans="1:14" ht="48" x14ac:dyDescent="0.25">
      <c r="A417" s="12" t="s">
        <v>1263</v>
      </c>
      <c r="B417" s="8" t="s">
        <v>1264</v>
      </c>
      <c r="C417" s="9">
        <v>1</v>
      </c>
      <c r="D417" s="10">
        <v>10</v>
      </c>
      <c r="E417" s="10">
        <v>19.989999999999998</v>
      </c>
      <c r="F417" s="9" t="s">
        <v>1265</v>
      </c>
      <c r="G417" s="8" t="s">
        <v>1266</v>
      </c>
      <c r="H417" s="12" t="s">
        <v>599</v>
      </c>
      <c r="I417" s="10">
        <v>5.3846153846153841</v>
      </c>
      <c r="J417" s="8" t="s">
        <v>254</v>
      </c>
      <c r="K417" s="8" t="s">
        <v>68</v>
      </c>
      <c r="L417" s="8"/>
      <c r="M417" s="8" t="s">
        <v>271</v>
      </c>
      <c r="N417" s="13" t="str">
        <f>HYPERLINK("http://slimages.macys.com/is/image/MCY/674962 ")</f>
        <v xml:space="preserve">http://slimages.macys.com/is/image/MCY/674962 </v>
      </c>
    </row>
    <row r="418" spans="1:14" ht="48" x14ac:dyDescent="0.25">
      <c r="A418" s="12" t="s">
        <v>1267</v>
      </c>
      <c r="B418" s="8" t="s">
        <v>1268</v>
      </c>
      <c r="C418" s="9">
        <v>4</v>
      </c>
      <c r="D418" s="10">
        <v>10</v>
      </c>
      <c r="E418" s="10">
        <v>24.99</v>
      </c>
      <c r="F418" s="9">
        <v>23429</v>
      </c>
      <c r="G418" s="8" t="s">
        <v>45</v>
      </c>
      <c r="H418" s="12" t="s">
        <v>46</v>
      </c>
      <c r="I418" s="10">
        <v>5.3846153846153841</v>
      </c>
      <c r="J418" s="8" t="s">
        <v>313</v>
      </c>
      <c r="K418" s="8" t="s">
        <v>1074</v>
      </c>
      <c r="L418" s="8"/>
      <c r="M418" s="8"/>
      <c r="N418" s="13" t="str">
        <f>HYPERLINK("http://slimages.macys.com/is/image/MCY/18772741 ")</f>
        <v xml:space="preserve">http://slimages.macys.com/is/image/MCY/18772741 </v>
      </c>
    </row>
    <row r="419" spans="1:14" ht="48" x14ac:dyDescent="0.25">
      <c r="A419" s="12" t="s">
        <v>1269</v>
      </c>
      <c r="B419" s="8" t="s">
        <v>1270</v>
      </c>
      <c r="C419" s="9">
        <v>2</v>
      </c>
      <c r="D419" s="10">
        <v>10</v>
      </c>
      <c r="E419" s="10">
        <v>24.99</v>
      </c>
      <c r="F419" s="9">
        <v>22101</v>
      </c>
      <c r="G419" s="8" t="s">
        <v>50</v>
      </c>
      <c r="H419" s="12" t="s">
        <v>46</v>
      </c>
      <c r="I419" s="10">
        <v>5.3846153846153841</v>
      </c>
      <c r="J419" s="8" t="s">
        <v>262</v>
      </c>
      <c r="K419" s="8" t="s">
        <v>695</v>
      </c>
      <c r="L419" s="8" t="s">
        <v>31</v>
      </c>
      <c r="M419" s="8" t="s">
        <v>426</v>
      </c>
      <c r="N419" s="13" t="str">
        <f>HYPERLINK("http://slimages.macys.com/is/image/MCY/15198807 ")</f>
        <v xml:space="preserve">http://slimages.macys.com/is/image/MCY/15198807 </v>
      </c>
    </row>
    <row r="420" spans="1:14" ht="48" x14ac:dyDescent="0.25">
      <c r="A420" s="12" t="s">
        <v>1271</v>
      </c>
      <c r="B420" s="8" t="s">
        <v>1272</v>
      </c>
      <c r="C420" s="9">
        <v>1</v>
      </c>
      <c r="D420" s="10">
        <v>10</v>
      </c>
      <c r="E420" s="10">
        <v>19.989999999999998</v>
      </c>
      <c r="F420" s="9" t="s">
        <v>1273</v>
      </c>
      <c r="G420" s="8"/>
      <c r="H420" s="12"/>
      <c r="I420" s="10">
        <v>5.3846153846153841</v>
      </c>
      <c r="J420" s="8" t="s">
        <v>262</v>
      </c>
      <c r="K420" s="8" t="s">
        <v>1274</v>
      </c>
      <c r="L420" s="8" t="s">
        <v>1275</v>
      </c>
      <c r="M420" s="8" t="s">
        <v>1276</v>
      </c>
      <c r="N420" s="13" t="str">
        <f>HYPERLINK("http://slimages.macys.com/is/image/MCY/3713823 ")</f>
        <v xml:space="preserve">http://slimages.macys.com/is/image/MCY/3713823 </v>
      </c>
    </row>
    <row r="421" spans="1:14" ht="48" x14ac:dyDescent="0.25">
      <c r="A421" s="12" t="s">
        <v>1267</v>
      </c>
      <c r="B421" s="8" t="s">
        <v>1268</v>
      </c>
      <c r="C421" s="9">
        <v>1</v>
      </c>
      <c r="D421" s="10">
        <v>10</v>
      </c>
      <c r="E421" s="10">
        <v>24.99</v>
      </c>
      <c r="F421" s="9">
        <v>23429</v>
      </c>
      <c r="G421" s="8" t="s">
        <v>45</v>
      </c>
      <c r="H421" s="12" t="s">
        <v>46</v>
      </c>
      <c r="I421" s="10">
        <v>5.3846153846153841</v>
      </c>
      <c r="J421" s="8" t="s">
        <v>313</v>
      </c>
      <c r="K421" s="8" t="s">
        <v>1074</v>
      </c>
      <c r="L421" s="8"/>
      <c r="M421" s="8"/>
      <c r="N421" s="13" t="str">
        <f>HYPERLINK("http://slimages.macys.com/is/image/MCY/18772741 ")</f>
        <v xml:space="preserve">http://slimages.macys.com/is/image/MCY/18772741 </v>
      </c>
    </row>
    <row r="422" spans="1:14" ht="48" x14ac:dyDescent="0.25">
      <c r="A422" s="12" t="s">
        <v>1277</v>
      </c>
      <c r="B422" s="8" t="s">
        <v>1278</v>
      </c>
      <c r="C422" s="9">
        <v>1</v>
      </c>
      <c r="D422" s="10">
        <v>10</v>
      </c>
      <c r="E422" s="10">
        <v>23.11</v>
      </c>
      <c r="F422" s="9" t="s">
        <v>1279</v>
      </c>
      <c r="G422" s="8" t="s">
        <v>35</v>
      </c>
      <c r="H422" s="12" t="s">
        <v>599</v>
      </c>
      <c r="I422" s="10">
        <v>5.3846153846153841</v>
      </c>
      <c r="J422" s="8" t="s">
        <v>254</v>
      </c>
      <c r="K422" s="8" t="s">
        <v>116</v>
      </c>
      <c r="L422" s="8" t="s">
        <v>31</v>
      </c>
      <c r="M422" s="8" t="s">
        <v>271</v>
      </c>
      <c r="N422" s="13" t="str">
        <f>HYPERLINK("http://slimages.macys.com/is/image/MCY/9052515 ")</f>
        <v xml:space="preserve">http://slimages.macys.com/is/image/MCY/9052515 </v>
      </c>
    </row>
    <row r="423" spans="1:14" ht="48" x14ac:dyDescent="0.25">
      <c r="A423" s="12" t="s">
        <v>1280</v>
      </c>
      <c r="B423" s="8" t="s">
        <v>1281</v>
      </c>
      <c r="C423" s="9">
        <v>2</v>
      </c>
      <c r="D423" s="10">
        <v>10</v>
      </c>
      <c r="E423" s="10">
        <v>20</v>
      </c>
      <c r="F423" s="9" t="s">
        <v>1282</v>
      </c>
      <c r="G423" s="8" t="s">
        <v>45</v>
      </c>
      <c r="H423" s="12" t="s">
        <v>1283</v>
      </c>
      <c r="I423" s="10">
        <v>5.3846153846153841</v>
      </c>
      <c r="J423" s="8" t="s">
        <v>73</v>
      </c>
      <c r="K423" s="8" t="s">
        <v>600</v>
      </c>
      <c r="L423" s="8" t="s">
        <v>31</v>
      </c>
      <c r="M423" s="8" t="s">
        <v>426</v>
      </c>
      <c r="N423" s="13" t="str">
        <f>HYPERLINK("http://slimages.macys.com/is/image/MCY/15522364 ")</f>
        <v xml:space="preserve">http://slimages.macys.com/is/image/MCY/15522364 </v>
      </c>
    </row>
    <row r="424" spans="1:14" ht="48" x14ac:dyDescent="0.25">
      <c r="A424" s="12" t="s">
        <v>1284</v>
      </c>
      <c r="B424" s="8" t="s">
        <v>1285</v>
      </c>
      <c r="C424" s="9">
        <v>1</v>
      </c>
      <c r="D424" s="10">
        <v>10</v>
      </c>
      <c r="E424" s="10">
        <v>19.989999999999998</v>
      </c>
      <c r="F424" s="9" t="s">
        <v>1286</v>
      </c>
      <c r="G424" s="8" t="s">
        <v>1287</v>
      </c>
      <c r="H424" s="12" t="s">
        <v>599</v>
      </c>
      <c r="I424" s="10">
        <v>5.3846153846153841</v>
      </c>
      <c r="J424" s="8" t="s">
        <v>254</v>
      </c>
      <c r="K424" s="8" t="s">
        <v>68</v>
      </c>
      <c r="L424" s="8" t="s">
        <v>31</v>
      </c>
      <c r="M424" s="8" t="s">
        <v>69</v>
      </c>
      <c r="N424" s="13" t="str">
        <f>HYPERLINK("http://slimages.macys.com/is/image/MCY/9069473 ")</f>
        <v xml:space="preserve">http://slimages.macys.com/is/image/MCY/9069473 </v>
      </c>
    </row>
    <row r="425" spans="1:14" ht="48" x14ac:dyDescent="0.25">
      <c r="A425" s="12" t="s">
        <v>1288</v>
      </c>
      <c r="B425" s="8" t="s">
        <v>1230</v>
      </c>
      <c r="C425" s="9">
        <v>1</v>
      </c>
      <c r="D425" s="10">
        <v>9.9499999999999993</v>
      </c>
      <c r="E425" s="10">
        <v>18.989999999999998</v>
      </c>
      <c r="F425" s="9">
        <v>5128048</v>
      </c>
      <c r="G425" s="8" t="s">
        <v>1231</v>
      </c>
      <c r="H425" s="12" t="s">
        <v>1238</v>
      </c>
      <c r="I425" s="10">
        <v>5.3576923076923073</v>
      </c>
      <c r="J425" s="8" t="s">
        <v>254</v>
      </c>
      <c r="K425" s="8" t="s">
        <v>139</v>
      </c>
      <c r="L425" s="8" t="s">
        <v>31</v>
      </c>
      <c r="M425" s="8" t="s">
        <v>69</v>
      </c>
      <c r="N425" s="13" t="str">
        <f>HYPERLINK("http://slimages.macys.com/is/image/MCY/3277390 ")</f>
        <v xml:space="preserve">http://slimages.macys.com/is/image/MCY/3277390 </v>
      </c>
    </row>
    <row r="426" spans="1:14" ht="108" x14ac:dyDescent="0.25">
      <c r="A426" s="12" t="s">
        <v>1289</v>
      </c>
      <c r="B426" s="8" t="s">
        <v>1290</v>
      </c>
      <c r="C426" s="9">
        <v>2</v>
      </c>
      <c r="D426" s="10">
        <v>9.9</v>
      </c>
      <c r="E426" s="10">
        <v>27.99</v>
      </c>
      <c r="F426" s="9" t="s">
        <v>1291</v>
      </c>
      <c r="G426" s="8" t="s">
        <v>50</v>
      </c>
      <c r="H426" s="12" t="s">
        <v>46</v>
      </c>
      <c r="I426" s="10">
        <v>5.3307692307692305</v>
      </c>
      <c r="J426" s="8" t="s">
        <v>561</v>
      </c>
      <c r="K426" s="8" t="s">
        <v>1084</v>
      </c>
      <c r="L426" s="8" t="s">
        <v>31</v>
      </c>
      <c r="M426" s="8" t="s">
        <v>1292</v>
      </c>
      <c r="N426" s="13" t="str">
        <f>HYPERLINK("http://slimages.macys.com/is/image/MCY/9200265 ")</f>
        <v xml:space="preserve">http://slimages.macys.com/is/image/MCY/9200265 </v>
      </c>
    </row>
    <row r="427" spans="1:14" ht="108" x14ac:dyDescent="0.25">
      <c r="A427" s="12" t="s">
        <v>1289</v>
      </c>
      <c r="B427" s="8" t="s">
        <v>1290</v>
      </c>
      <c r="C427" s="9">
        <v>1</v>
      </c>
      <c r="D427" s="10">
        <v>9.9</v>
      </c>
      <c r="E427" s="10">
        <v>27.99</v>
      </c>
      <c r="F427" s="9" t="s">
        <v>1291</v>
      </c>
      <c r="G427" s="8" t="s">
        <v>50</v>
      </c>
      <c r="H427" s="12" t="s">
        <v>46</v>
      </c>
      <c r="I427" s="10">
        <v>5.3307692307692305</v>
      </c>
      <c r="J427" s="8" t="s">
        <v>561</v>
      </c>
      <c r="K427" s="8" t="s">
        <v>1084</v>
      </c>
      <c r="L427" s="8" t="s">
        <v>31</v>
      </c>
      <c r="M427" s="8" t="s">
        <v>1292</v>
      </c>
      <c r="N427" s="13" t="str">
        <f>HYPERLINK("http://slimages.macys.com/is/image/MCY/9200265 ")</f>
        <v xml:space="preserve">http://slimages.macys.com/is/image/MCY/9200265 </v>
      </c>
    </row>
    <row r="428" spans="1:14" ht="60" x14ac:dyDescent="0.25">
      <c r="A428" s="12" t="s">
        <v>1293</v>
      </c>
      <c r="B428" s="8" t="s">
        <v>1294</v>
      </c>
      <c r="C428" s="9">
        <v>1</v>
      </c>
      <c r="D428" s="10">
        <v>9.6</v>
      </c>
      <c r="E428" s="10">
        <v>20</v>
      </c>
      <c r="F428" s="9" t="s">
        <v>1295</v>
      </c>
      <c r="G428" s="8" t="s">
        <v>50</v>
      </c>
      <c r="H428" s="12" t="s">
        <v>359</v>
      </c>
      <c r="I428" s="10">
        <v>5.1692307692307686</v>
      </c>
      <c r="J428" s="8" t="s">
        <v>73</v>
      </c>
      <c r="K428" s="8" t="s">
        <v>726</v>
      </c>
      <c r="L428" s="8" t="s">
        <v>286</v>
      </c>
      <c r="M428" s="8" t="s">
        <v>485</v>
      </c>
      <c r="N428" s="13" t="str">
        <f>HYPERLINK("http://images.bloomingdales.com/is/image/BLM/11972514 ")</f>
        <v xml:space="preserve">http://images.bloomingdales.com/is/image/BLM/11972514 </v>
      </c>
    </row>
    <row r="429" spans="1:14" ht="48" x14ac:dyDescent="0.25">
      <c r="A429" s="12" t="s">
        <v>1296</v>
      </c>
      <c r="B429" s="8" t="s">
        <v>1297</v>
      </c>
      <c r="C429" s="9">
        <v>3</v>
      </c>
      <c r="D429" s="10">
        <v>9.6</v>
      </c>
      <c r="E429" s="10">
        <v>26.99</v>
      </c>
      <c r="F429" s="9" t="s">
        <v>1298</v>
      </c>
      <c r="G429" s="8" t="s">
        <v>972</v>
      </c>
      <c r="H429" s="12" t="s">
        <v>46</v>
      </c>
      <c r="I429" s="10">
        <v>5.1692307692307686</v>
      </c>
      <c r="J429" s="8" t="s">
        <v>313</v>
      </c>
      <c r="K429" s="8" t="s">
        <v>648</v>
      </c>
      <c r="L429" s="8"/>
      <c r="M429" s="8"/>
      <c r="N429" s="13" t="str">
        <f>HYPERLINK("http://slimages.macys.com/is/image/MCY/16803990 ")</f>
        <v xml:space="preserve">http://slimages.macys.com/is/image/MCY/16803990 </v>
      </c>
    </row>
    <row r="430" spans="1:14" ht="48" x14ac:dyDescent="0.25">
      <c r="A430" s="12" t="s">
        <v>1296</v>
      </c>
      <c r="B430" s="8" t="s">
        <v>1297</v>
      </c>
      <c r="C430" s="9">
        <v>1</v>
      </c>
      <c r="D430" s="10">
        <v>9.6</v>
      </c>
      <c r="E430" s="10">
        <v>26.99</v>
      </c>
      <c r="F430" s="9" t="s">
        <v>1298</v>
      </c>
      <c r="G430" s="8" t="s">
        <v>972</v>
      </c>
      <c r="H430" s="12" t="s">
        <v>46</v>
      </c>
      <c r="I430" s="10">
        <v>5.1692307692307686</v>
      </c>
      <c r="J430" s="8" t="s">
        <v>313</v>
      </c>
      <c r="K430" s="8" t="s">
        <v>648</v>
      </c>
      <c r="L430" s="8"/>
      <c r="M430" s="8"/>
      <c r="N430" s="13" t="str">
        <f>HYPERLINK("http://slimages.macys.com/is/image/MCY/16803990 ")</f>
        <v xml:space="preserve">http://slimages.macys.com/is/image/MCY/16803990 </v>
      </c>
    </row>
    <row r="431" spans="1:14" ht="48" x14ac:dyDescent="0.25">
      <c r="A431" s="12" t="s">
        <v>1299</v>
      </c>
      <c r="B431" s="8" t="s">
        <v>1300</v>
      </c>
      <c r="C431" s="9">
        <v>1</v>
      </c>
      <c r="D431" s="10">
        <v>9.58</v>
      </c>
      <c r="E431" s="10">
        <v>24.99</v>
      </c>
      <c r="F431" s="9">
        <v>10010454000</v>
      </c>
      <c r="G431" s="8" t="s">
        <v>50</v>
      </c>
      <c r="H431" s="12" t="s">
        <v>46</v>
      </c>
      <c r="I431" s="10">
        <v>5.1584615384615384</v>
      </c>
      <c r="J431" s="8" t="s">
        <v>202</v>
      </c>
      <c r="K431" s="8" t="s">
        <v>1301</v>
      </c>
      <c r="L431" s="8"/>
      <c r="M431" s="8"/>
      <c r="N431" s="13" t="str">
        <f>HYPERLINK("http://slimages.macys.com/is/image/MCY/17476308 ")</f>
        <v xml:space="preserve">http://slimages.macys.com/is/image/MCY/17476308 </v>
      </c>
    </row>
    <row r="432" spans="1:14" ht="48" x14ac:dyDescent="0.25">
      <c r="A432" s="12" t="s">
        <v>1299</v>
      </c>
      <c r="B432" s="8" t="s">
        <v>1300</v>
      </c>
      <c r="C432" s="9">
        <v>1</v>
      </c>
      <c r="D432" s="10">
        <v>9.58</v>
      </c>
      <c r="E432" s="10">
        <v>24.99</v>
      </c>
      <c r="F432" s="9">
        <v>10010454000</v>
      </c>
      <c r="G432" s="8" t="s">
        <v>50</v>
      </c>
      <c r="H432" s="12" t="s">
        <v>46</v>
      </c>
      <c r="I432" s="10">
        <v>5.1584615384615384</v>
      </c>
      <c r="J432" s="8" t="s">
        <v>202</v>
      </c>
      <c r="K432" s="8" t="s">
        <v>1301</v>
      </c>
      <c r="L432" s="8"/>
      <c r="M432" s="8"/>
      <c r="N432" s="13" t="str">
        <f>HYPERLINK("http://slimages.macys.com/is/image/MCY/17476308 ")</f>
        <v xml:space="preserve">http://slimages.macys.com/is/image/MCY/17476308 </v>
      </c>
    </row>
    <row r="433" spans="1:14" ht="48" x14ac:dyDescent="0.25">
      <c r="A433" s="12" t="s">
        <v>1302</v>
      </c>
      <c r="B433" s="8" t="s">
        <v>1303</v>
      </c>
      <c r="C433" s="9">
        <v>1</v>
      </c>
      <c r="D433" s="10">
        <v>9.56</v>
      </c>
      <c r="E433" s="10">
        <v>24.99</v>
      </c>
      <c r="F433" s="9" t="s">
        <v>1304</v>
      </c>
      <c r="G433" s="8" t="s">
        <v>137</v>
      </c>
      <c r="H433" s="12" t="s">
        <v>46</v>
      </c>
      <c r="I433" s="10">
        <v>5.1476923076923073</v>
      </c>
      <c r="J433" s="8" t="s">
        <v>29</v>
      </c>
      <c r="K433" s="8" t="s">
        <v>218</v>
      </c>
      <c r="L433" s="8" t="s">
        <v>31</v>
      </c>
      <c r="M433" s="8" t="s">
        <v>1305</v>
      </c>
      <c r="N433" s="13" t="str">
        <f>HYPERLINK("http://slimages.macys.com/is/image/MCY/9690689 ")</f>
        <v xml:space="preserve">http://slimages.macys.com/is/image/MCY/9690689 </v>
      </c>
    </row>
    <row r="434" spans="1:14" ht="48" x14ac:dyDescent="0.25">
      <c r="A434" s="12" t="s">
        <v>1306</v>
      </c>
      <c r="B434" s="8" t="s">
        <v>1307</v>
      </c>
      <c r="C434" s="9">
        <v>1</v>
      </c>
      <c r="D434" s="10">
        <v>9.5</v>
      </c>
      <c r="E434" s="10">
        <v>18.989999999999998</v>
      </c>
      <c r="F434" s="9" t="s">
        <v>1308</v>
      </c>
      <c r="G434" s="8" t="s">
        <v>35</v>
      </c>
      <c r="H434" s="12" t="s">
        <v>599</v>
      </c>
      <c r="I434" s="10">
        <v>5.1153846153846159</v>
      </c>
      <c r="J434" s="8" t="s">
        <v>254</v>
      </c>
      <c r="K434" s="8" t="s">
        <v>86</v>
      </c>
      <c r="L434" s="8" t="s">
        <v>31</v>
      </c>
      <c r="M434" s="8" t="s">
        <v>271</v>
      </c>
      <c r="N434" s="13" t="str">
        <f>HYPERLINK("http://slimages.macys.com/is/image/MCY/9259144 ")</f>
        <v xml:space="preserve">http://slimages.macys.com/is/image/MCY/9259144 </v>
      </c>
    </row>
    <row r="435" spans="1:14" ht="48" x14ac:dyDescent="0.25">
      <c r="A435" s="12" t="s">
        <v>1309</v>
      </c>
      <c r="B435" s="8" t="s">
        <v>1310</v>
      </c>
      <c r="C435" s="9">
        <v>1</v>
      </c>
      <c r="D435" s="10">
        <v>9.5</v>
      </c>
      <c r="E435" s="10">
        <v>19</v>
      </c>
      <c r="F435" s="9" t="s">
        <v>1311</v>
      </c>
      <c r="G435" s="8" t="s">
        <v>35</v>
      </c>
      <c r="H435" s="12" t="s">
        <v>1251</v>
      </c>
      <c r="I435" s="10">
        <v>5.1153846153846159</v>
      </c>
      <c r="J435" s="8" t="s">
        <v>254</v>
      </c>
      <c r="K435" s="8" t="s">
        <v>116</v>
      </c>
      <c r="L435" s="8"/>
      <c r="M435" s="8" t="s">
        <v>69</v>
      </c>
      <c r="N435" s="13" t="str">
        <f>HYPERLINK("http://slimages.macys.com/is/image/MCY/10519863 ")</f>
        <v xml:space="preserve">http://slimages.macys.com/is/image/MCY/10519863 </v>
      </c>
    </row>
    <row r="436" spans="1:14" ht="48" x14ac:dyDescent="0.25">
      <c r="A436" s="12" t="s">
        <v>1312</v>
      </c>
      <c r="B436" s="8" t="s">
        <v>1313</v>
      </c>
      <c r="C436" s="9">
        <v>1</v>
      </c>
      <c r="D436" s="10">
        <v>9.5</v>
      </c>
      <c r="E436" s="10">
        <v>19</v>
      </c>
      <c r="F436" s="9" t="s">
        <v>1314</v>
      </c>
      <c r="G436" s="8" t="s">
        <v>35</v>
      </c>
      <c r="H436" s="12" t="s">
        <v>1251</v>
      </c>
      <c r="I436" s="10">
        <v>5.1153846153846159</v>
      </c>
      <c r="J436" s="8" t="s">
        <v>254</v>
      </c>
      <c r="K436" s="8" t="s">
        <v>116</v>
      </c>
      <c r="L436" s="8" t="s">
        <v>31</v>
      </c>
      <c r="M436" s="8" t="s">
        <v>69</v>
      </c>
      <c r="N436" s="13" t="str">
        <f>HYPERLINK("http://slimages.macys.com/is/image/MCY/8747031 ")</f>
        <v xml:space="preserve">http://slimages.macys.com/is/image/MCY/8747031 </v>
      </c>
    </row>
    <row r="437" spans="1:14" ht="60" x14ac:dyDescent="0.25">
      <c r="A437" s="12" t="s">
        <v>1315</v>
      </c>
      <c r="B437" s="8" t="s">
        <v>1316</v>
      </c>
      <c r="C437" s="9">
        <v>2</v>
      </c>
      <c r="D437" s="10">
        <v>9.48</v>
      </c>
      <c r="E437" s="10">
        <v>24.99</v>
      </c>
      <c r="F437" s="9">
        <v>765646</v>
      </c>
      <c r="G437" s="8" t="s">
        <v>454</v>
      </c>
      <c r="H437" s="12" t="s">
        <v>46</v>
      </c>
      <c r="I437" s="10">
        <v>5.1046153846153848</v>
      </c>
      <c r="J437" s="8" t="s">
        <v>29</v>
      </c>
      <c r="K437" s="8" t="s">
        <v>1317</v>
      </c>
      <c r="L437" s="8" t="s">
        <v>31</v>
      </c>
      <c r="M437" s="8" t="s">
        <v>186</v>
      </c>
      <c r="N437" s="13" t="str">
        <f>HYPERLINK("http://slimages.macys.com/is/image/MCY/12696537 ")</f>
        <v xml:space="preserve">http://slimages.macys.com/is/image/MCY/12696537 </v>
      </c>
    </row>
    <row r="438" spans="1:14" ht="48" x14ac:dyDescent="0.25">
      <c r="A438" s="12" t="s">
        <v>1318</v>
      </c>
      <c r="B438" s="8" t="s">
        <v>1319</v>
      </c>
      <c r="C438" s="9">
        <v>2</v>
      </c>
      <c r="D438" s="10">
        <v>9.4</v>
      </c>
      <c r="E438" s="10">
        <v>26.99</v>
      </c>
      <c r="F438" s="9" t="s">
        <v>1320</v>
      </c>
      <c r="G438" s="8" t="s">
        <v>773</v>
      </c>
      <c r="H438" s="12" t="s">
        <v>46</v>
      </c>
      <c r="I438" s="10">
        <v>5.0615384615384613</v>
      </c>
      <c r="J438" s="8" t="s">
        <v>313</v>
      </c>
      <c r="K438" s="8" t="s">
        <v>648</v>
      </c>
      <c r="L438" s="8"/>
      <c r="M438" s="8"/>
      <c r="N438" s="13" t="str">
        <f>HYPERLINK("http://slimages.macys.com/is/image/MCY/16804018 ")</f>
        <v xml:space="preserve">http://slimages.macys.com/is/image/MCY/16804018 </v>
      </c>
    </row>
    <row r="439" spans="1:14" ht="48" x14ac:dyDescent="0.25">
      <c r="A439" s="12" t="s">
        <v>1321</v>
      </c>
      <c r="B439" s="8" t="s">
        <v>1322</v>
      </c>
      <c r="C439" s="9">
        <v>1</v>
      </c>
      <c r="D439" s="10">
        <v>9.3000000000000007</v>
      </c>
      <c r="E439" s="10">
        <v>29.99</v>
      </c>
      <c r="F439" s="9">
        <v>100141659</v>
      </c>
      <c r="G439" s="8" t="s">
        <v>50</v>
      </c>
      <c r="H439" s="12" t="s">
        <v>46</v>
      </c>
      <c r="I439" s="10">
        <v>5.0076923076923077</v>
      </c>
      <c r="J439" s="8" t="s">
        <v>561</v>
      </c>
      <c r="K439" s="8" t="s">
        <v>1187</v>
      </c>
      <c r="L439" s="8"/>
      <c r="M439" s="8"/>
      <c r="N439" s="13" t="str">
        <f>HYPERLINK("http://slimages.macys.com/is/image/MCY/20323886 ")</f>
        <v xml:space="preserve">http://slimages.macys.com/is/image/MCY/20323886 </v>
      </c>
    </row>
    <row r="440" spans="1:14" ht="48" x14ac:dyDescent="0.25">
      <c r="A440" s="12" t="s">
        <v>1323</v>
      </c>
      <c r="B440" s="8" t="s">
        <v>1230</v>
      </c>
      <c r="C440" s="9">
        <v>3</v>
      </c>
      <c r="D440" s="10">
        <v>9</v>
      </c>
      <c r="E440" s="10">
        <v>17.989999999999998</v>
      </c>
      <c r="F440" s="9">
        <v>5128049</v>
      </c>
      <c r="G440" s="8" t="s">
        <v>1231</v>
      </c>
      <c r="H440" s="12" t="s">
        <v>1251</v>
      </c>
      <c r="I440" s="10">
        <v>4.8461538461538458</v>
      </c>
      <c r="J440" s="8" t="s">
        <v>254</v>
      </c>
      <c r="K440" s="8" t="s">
        <v>139</v>
      </c>
      <c r="L440" s="8" t="s">
        <v>31</v>
      </c>
      <c r="M440" s="8" t="s">
        <v>69</v>
      </c>
      <c r="N440" s="13" t="str">
        <f>HYPERLINK("http://slimages.macys.com/is/image/MCY/3277389 ")</f>
        <v xml:space="preserve">http://slimages.macys.com/is/image/MCY/3277389 </v>
      </c>
    </row>
    <row r="441" spans="1:14" ht="48" x14ac:dyDescent="0.25">
      <c r="A441" s="12" t="s">
        <v>1323</v>
      </c>
      <c r="B441" s="8" t="s">
        <v>1230</v>
      </c>
      <c r="C441" s="9">
        <v>2</v>
      </c>
      <c r="D441" s="10">
        <v>9</v>
      </c>
      <c r="E441" s="10">
        <v>17.989999999999998</v>
      </c>
      <c r="F441" s="9">
        <v>5128049</v>
      </c>
      <c r="G441" s="8" t="s">
        <v>1231</v>
      </c>
      <c r="H441" s="12" t="s">
        <v>1251</v>
      </c>
      <c r="I441" s="10">
        <v>4.8461538461538458</v>
      </c>
      <c r="J441" s="8" t="s">
        <v>254</v>
      </c>
      <c r="K441" s="8" t="s">
        <v>139</v>
      </c>
      <c r="L441" s="8" t="s">
        <v>31</v>
      </c>
      <c r="M441" s="8" t="s">
        <v>69</v>
      </c>
      <c r="N441" s="13" t="str">
        <f>HYPERLINK("http://slimages.macys.com/is/image/MCY/3277389 ")</f>
        <v xml:space="preserve">http://slimages.macys.com/is/image/MCY/3277389 </v>
      </c>
    </row>
    <row r="442" spans="1:14" ht="48" x14ac:dyDescent="0.25">
      <c r="A442" s="12" t="s">
        <v>1324</v>
      </c>
      <c r="B442" s="8" t="s">
        <v>1325</v>
      </c>
      <c r="C442" s="9">
        <v>12</v>
      </c>
      <c r="D442" s="10">
        <v>9</v>
      </c>
      <c r="E442" s="10">
        <v>14.99</v>
      </c>
      <c r="F442" s="9" t="s">
        <v>1326</v>
      </c>
      <c r="G442" s="8" t="s">
        <v>45</v>
      </c>
      <c r="H442" s="12" t="s">
        <v>946</v>
      </c>
      <c r="I442" s="10">
        <v>4.8461538461538458</v>
      </c>
      <c r="J442" s="8" t="s">
        <v>37</v>
      </c>
      <c r="K442" s="8" t="s">
        <v>68</v>
      </c>
      <c r="L442" s="8" t="s">
        <v>31</v>
      </c>
      <c r="M442" s="8" t="s">
        <v>530</v>
      </c>
      <c r="N442" s="13" t="str">
        <f>HYPERLINK("http://slimages.macys.com/is/image/MCY/14746957 ")</f>
        <v xml:space="preserve">http://slimages.macys.com/is/image/MCY/14746957 </v>
      </c>
    </row>
    <row r="443" spans="1:14" ht="48" x14ac:dyDescent="0.25">
      <c r="A443" s="12" t="s">
        <v>1327</v>
      </c>
      <c r="B443" s="8" t="s">
        <v>1328</v>
      </c>
      <c r="C443" s="9">
        <v>1</v>
      </c>
      <c r="D443" s="10">
        <v>9</v>
      </c>
      <c r="E443" s="10">
        <v>18.989999999999998</v>
      </c>
      <c r="F443" s="9">
        <v>9460</v>
      </c>
      <c r="G443" s="8" t="s">
        <v>50</v>
      </c>
      <c r="H443" s="12" t="s">
        <v>46</v>
      </c>
      <c r="I443" s="10">
        <v>4.8461538461538458</v>
      </c>
      <c r="J443" s="8" t="s">
        <v>29</v>
      </c>
      <c r="K443" s="8" t="s">
        <v>1329</v>
      </c>
      <c r="L443" s="8"/>
      <c r="M443" s="8"/>
      <c r="N443" s="13" t="str">
        <f>HYPERLINK("http://slimages.macys.com/is/image/MCY/19525369 ")</f>
        <v xml:space="preserve">http://slimages.macys.com/is/image/MCY/19525369 </v>
      </c>
    </row>
    <row r="444" spans="1:14" ht="48" x14ac:dyDescent="0.25">
      <c r="A444" s="12" t="s">
        <v>1330</v>
      </c>
      <c r="B444" s="8" t="s">
        <v>1331</v>
      </c>
      <c r="C444" s="9">
        <v>5</v>
      </c>
      <c r="D444" s="10">
        <v>9</v>
      </c>
      <c r="E444" s="10">
        <v>24.99</v>
      </c>
      <c r="F444" s="9">
        <v>45329</v>
      </c>
      <c r="G444" s="8" t="s">
        <v>50</v>
      </c>
      <c r="H444" s="12" t="s">
        <v>46</v>
      </c>
      <c r="I444" s="10">
        <v>4.8461538461538458</v>
      </c>
      <c r="J444" s="8" t="s">
        <v>29</v>
      </c>
      <c r="K444" s="8" t="s">
        <v>919</v>
      </c>
      <c r="L444" s="8"/>
      <c r="M444" s="8"/>
      <c r="N444" s="13" t="str">
        <f>HYPERLINK("http://slimages.macys.com/is/image/MCY/19585519 ")</f>
        <v xml:space="preserve">http://slimages.macys.com/is/image/MCY/19585519 </v>
      </c>
    </row>
    <row r="445" spans="1:14" ht="48" x14ac:dyDescent="0.25">
      <c r="A445" s="12" t="s">
        <v>1332</v>
      </c>
      <c r="B445" s="8" t="s">
        <v>1333</v>
      </c>
      <c r="C445" s="9">
        <v>6</v>
      </c>
      <c r="D445" s="10">
        <v>9</v>
      </c>
      <c r="E445" s="10">
        <v>24.99</v>
      </c>
      <c r="F445" s="9">
        <v>23428</v>
      </c>
      <c r="G445" s="8" t="s">
        <v>137</v>
      </c>
      <c r="H445" s="12" t="s">
        <v>46</v>
      </c>
      <c r="I445" s="10">
        <v>4.8461538461538458</v>
      </c>
      <c r="J445" s="8" t="s">
        <v>313</v>
      </c>
      <c r="K445" s="8" t="s">
        <v>1074</v>
      </c>
      <c r="L445" s="8"/>
      <c r="M445" s="8"/>
      <c r="N445" s="13" t="str">
        <f>HYPERLINK("http://slimages.macys.com/is/image/MCY/18772739 ")</f>
        <v xml:space="preserve">http://slimages.macys.com/is/image/MCY/18772739 </v>
      </c>
    </row>
    <row r="446" spans="1:14" ht="48" x14ac:dyDescent="0.25">
      <c r="A446" s="12" t="s">
        <v>1334</v>
      </c>
      <c r="B446" s="8" t="s">
        <v>1335</v>
      </c>
      <c r="C446" s="9">
        <v>1</v>
      </c>
      <c r="D446" s="10">
        <v>8.92</v>
      </c>
      <c r="E446" s="10">
        <v>22.99</v>
      </c>
      <c r="F446" s="9" t="s">
        <v>1336</v>
      </c>
      <c r="G446" s="8" t="s">
        <v>137</v>
      </c>
      <c r="H446" s="12" t="s">
        <v>46</v>
      </c>
      <c r="I446" s="10">
        <v>4.8030769230769224</v>
      </c>
      <c r="J446" s="8" t="s">
        <v>29</v>
      </c>
      <c r="K446" s="8" t="s">
        <v>218</v>
      </c>
      <c r="L446" s="8" t="s">
        <v>31</v>
      </c>
      <c r="M446" s="8" t="s">
        <v>1305</v>
      </c>
      <c r="N446" s="13" t="str">
        <f>HYPERLINK("http://slimages.macys.com/is/image/MCY/9690626 ")</f>
        <v xml:space="preserve">http://slimages.macys.com/is/image/MCY/9690626 </v>
      </c>
    </row>
    <row r="447" spans="1:14" ht="48" x14ac:dyDescent="0.25">
      <c r="A447" s="12" t="s">
        <v>1337</v>
      </c>
      <c r="B447" s="8" t="s">
        <v>1230</v>
      </c>
      <c r="C447" s="9">
        <v>1</v>
      </c>
      <c r="D447" s="10">
        <v>8.9</v>
      </c>
      <c r="E447" s="10">
        <v>16.989999999999998</v>
      </c>
      <c r="F447" s="9">
        <v>5128047</v>
      </c>
      <c r="G447" s="8" t="s">
        <v>1231</v>
      </c>
      <c r="H447" s="12" t="s">
        <v>884</v>
      </c>
      <c r="I447" s="10">
        <v>4.7923076923076922</v>
      </c>
      <c r="J447" s="8" t="s">
        <v>254</v>
      </c>
      <c r="K447" s="8" t="s">
        <v>139</v>
      </c>
      <c r="L447" s="8" t="s">
        <v>31</v>
      </c>
      <c r="M447" s="8" t="s">
        <v>69</v>
      </c>
      <c r="N447" s="13" t="str">
        <f>HYPERLINK("http://slimages.macys.com/is/image/MCY/3277397 ")</f>
        <v xml:space="preserve">http://slimages.macys.com/is/image/MCY/3277397 </v>
      </c>
    </row>
    <row r="448" spans="1:14" ht="60" x14ac:dyDescent="0.25">
      <c r="A448" s="12" t="s">
        <v>1338</v>
      </c>
      <c r="B448" s="8" t="s">
        <v>1339</v>
      </c>
      <c r="C448" s="9">
        <v>13</v>
      </c>
      <c r="D448" s="10">
        <v>8.64</v>
      </c>
      <c r="E448" s="10">
        <v>18</v>
      </c>
      <c r="F448" s="9" t="s">
        <v>1340</v>
      </c>
      <c r="G448" s="8"/>
      <c r="H448" s="12" t="s">
        <v>1341</v>
      </c>
      <c r="I448" s="10">
        <v>4.6523076923076925</v>
      </c>
      <c r="J448" s="8" t="s">
        <v>37</v>
      </c>
      <c r="K448" s="8" t="s">
        <v>726</v>
      </c>
      <c r="L448" s="8" t="s">
        <v>126</v>
      </c>
      <c r="M448" s="8" t="s">
        <v>1342</v>
      </c>
      <c r="N448" s="13" t="str">
        <f>HYPERLINK("http://images.bloomingdales.com/is/image/BLM/10183605 ")</f>
        <v xml:space="preserve">http://images.bloomingdales.com/is/image/BLM/10183605 </v>
      </c>
    </row>
    <row r="449" spans="1:14" ht="60" x14ac:dyDescent="0.25">
      <c r="A449" s="12" t="s">
        <v>1343</v>
      </c>
      <c r="B449" s="8" t="s">
        <v>1344</v>
      </c>
      <c r="C449" s="9">
        <v>3</v>
      </c>
      <c r="D449" s="10">
        <v>8.64</v>
      </c>
      <c r="E449" s="10">
        <v>18</v>
      </c>
      <c r="F449" s="9" t="s">
        <v>1345</v>
      </c>
      <c r="G449" s="8" t="s">
        <v>168</v>
      </c>
      <c r="H449" s="12" t="s">
        <v>46</v>
      </c>
      <c r="I449" s="10">
        <v>4.6523076923076925</v>
      </c>
      <c r="J449" s="8" t="s">
        <v>37</v>
      </c>
      <c r="K449" s="8" t="s">
        <v>726</v>
      </c>
      <c r="L449" s="8" t="s">
        <v>1346</v>
      </c>
      <c r="M449" s="8" t="s">
        <v>1347</v>
      </c>
      <c r="N449" s="13" t="str">
        <f>HYPERLINK("http://images.bloomingdales.com/is/image/BLM/9484548 ")</f>
        <v xml:space="preserve">http://images.bloomingdales.com/is/image/BLM/9484548 </v>
      </c>
    </row>
    <row r="450" spans="1:14" ht="60" x14ac:dyDescent="0.25">
      <c r="A450" s="12" t="s">
        <v>1348</v>
      </c>
      <c r="B450" s="8" t="s">
        <v>1349</v>
      </c>
      <c r="C450" s="9">
        <v>2</v>
      </c>
      <c r="D450" s="10">
        <v>8.64</v>
      </c>
      <c r="E450" s="10">
        <v>18</v>
      </c>
      <c r="F450" s="9" t="s">
        <v>1350</v>
      </c>
      <c r="G450" s="8" t="s">
        <v>35</v>
      </c>
      <c r="H450" s="12" t="s">
        <v>46</v>
      </c>
      <c r="I450" s="10">
        <v>4.6523076923076925</v>
      </c>
      <c r="J450" s="8" t="s">
        <v>37</v>
      </c>
      <c r="K450" s="8" t="s">
        <v>726</v>
      </c>
      <c r="L450" s="8" t="s">
        <v>1346</v>
      </c>
      <c r="M450" s="8" t="s">
        <v>1347</v>
      </c>
      <c r="N450" s="13" t="str">
        <f>HYPERLINK("http://images.bloomingdales.com/is/image/BLM/9484548 ")</f>
        <v xml:space="preserve">http://images.bloomingdales.com/is/image/BLM/9484548 </v>
      </c>
    </row>
    <row r="451" spans="1:14" ht="60" x14ac:dyDescent="0.25">
      <c r="A451" s="12" t="s">
        <v>1351</v>
      </c>
      <c r="B451" s="8" t="s">
        <v>1352</v>
      </c>
      <c r="C451" s="9">
        <v>1</v>
      </c>
      <c r="D451" s="10">
        <v>8.64</v>
      </c>
      <c r="E451" s="10">
        <v>18</v>
      </c>
      <c r="F451" s="9" t="s">
        <v>1353</v>
      </c>
      <c r="G451" s="8" t="s">
        <v>137</v>
      </c>
      <c r="H451" s="12" t="s">
        <v>46</v>
      </c>
      <c r="I451" s="10">
        <v>4.6523076923076925</v>
      </c>
      <c r="J451" s="8" t="s">
        <v>37</v>
      </c>
      <c r="K451" s="8" t="s">
        <v>726</v>
      </c>
      <c r="L451" s="8" t="s">
        <v>1346</v>
      </c>
      <c r="M451" s="8" t="s">
        <v>1347</v>
      </c>
      <c r="N451" s="13" t="str">
        <f>HYPERLINK("http://images.bloomingdales.com/is/image/BLM/9484548 ")</f>
        <v xml:space="preserve">http://images.bloomingdales.com/is/image/BLM/9484548 </v>
      </c>
    </row>
    <row r="452" spans="1:14" ht="60" x14ac:dyDescent="0.25">
      <c r="A452" s="12" t="s">
        <v>1354</v>
      </c>
      <c r="B452" s="8" t="s">
        <v>1339</v>
      </c>
      <c r="C452" s="9">
        <v>6</v>
      </c>
      <c r="D452" s="10">
        <v>8.64</v>
      </c>
      <c r="E452" s="10">
        <v>18</v>
      </c>
      <c r="F452" s="9" t="s">
        <v>1355</v>
      </c>
      <c r="G452" s="8"/>
      <c r="H452" s="12" t="s">
        <v>1341</v>
      </c>
      <c r="I452" s="10">
        <v>4.6523076923076925</v>
      </c>
      <c r="J452" s="8" t="s">
        <v>37</v>
      </c>
      <c r="K452" s="8" t="s">
        <v>726</v>
      </c>
      <c r="L452" s="8" t="s">
        <v>126</v>
      </c>
      <c r="M452" s="8" t="s">
        <v>1342</v>
      </c>
      <c r="N452" s="13" t="str">
        <f>HYPERLINK("http://images.bloomingdales.com/is/image/BLM/10183605 ")</f>
        <v xml:space="preserve">http://images.bloomingdales.com/is/image/BLM/10183605 </v>
      </c>
    </row>
    <row r="453" spans="1:14" ht="60" x14ac:dyDescent="0.25">
      <c r="A453" s="12" t="s">
        <v>1356</v>
      </c>
      <c r="B453" s="8" t="s">
        <v>1339</v>
      </c>
      <c r="C453" s="9">
        <v>6</v>
      </c>
      <c r="D453" s="10">
        <v>8.64</v>
      </c>
      <c r="E453" s="10">
        <v>18</v>
      </c>
      <c r="F453" s="9" t="s">
        <v>1357</v>
      </c>
      <c r="G453" s="8"/>
      <c r="H453" s="12" t="s">
        <v>1341</v>
      </c>
      <c r="I453" s="10">
        <v>4.6523076923076925</v>
      </c>
      <c r="J453" s="8" t="s">
        <v>37</v>
      </c>
      <c r="K453" s="8" t="s">
        <v>726</v>
      </c>
      <c r="L453" s="8" t="s">
        <v>126</v>
      </c>
      <c r="M453" s="8" t="s">
        <v>1342</v>
      </c>
      <c r="N453" s="13" t="str">
        <f>HYPERLINK("http://images.bloomingdales.com/is/image/BLM/10183605 ")</f>
        <v xml:space="preserve">http://images.bloomingdales.com/is/image/BLM/10183605 </v>
      </c>
    </row>
    <row r="454" spans="1:14" ht="48" x14ac:dyDescent="0.25">
      <c r="A454" s="12" t="s">
        <v>1358</v>
      </c>
      <c r="B454" s="8" t="s">
        <v>1359</v>
      </c>
      <c r="C454" s="9">
        <v>1</v>
      </c>
      <c r="D454" s="10">
        <v>8.6</v>
      </c>
      <c r="E454" s="10">
        <v>15.99</v>
      </c>
      <c r="F454" s="9" t="s">
        <v>1360</v>
      </c>
      <c r="G454" s="8" t="s">
        <v>35</v>
      </c>
      <c r="H454" s="12"/>
      <c r="I454" s="10">
        <v>4.6307692307692303</v>
      </c>
      <c r="J454" s="8" t="s">
        <v>209</v>
      </c>
      <c r="K454" s="8" t="s">
        <v>210</v>
      </c>
      <c r="L454" s="8" t="s">
        <v>79</v>
      </c>
      <c r="M454" s="8" t="s">
        <v>1361</v>
      </c>
      <c r="N454" s="13" t="str">
        <f>HYPERLINK("http://slimages.macys.com/is/image/MCY/8268607 ")</f>
        <v xml:space="preserve">http://slimages.macys.com/is/image/MCY/8268607 </v>
      </c>
    </row>
    <row r="455" spans="1:14" ht="48" x14ac:dyDescent="0.25">
      <c r="A455" s="12" t="s">
        <v>1362</v>
      </c>
      <c r="B455" s="8" t="s">
        <v>1363</v>
      </c>
      <c r="C455" s="9">
        <v>1</v>
      </c>
      <c r="D455" s="10">
        <v>8.6</v>
      </c>
      <c r="E455" s="10">
        <v>16.989999999999998</v>
      </c>
      <c r="F455" s="9" t="s">
        <v>1364</v>
      </c>
      <c r="G455" s="8" t="s">
        <v>84</v>
      </c>
      <c r="H455" s="12"/>
      <c r="I455" s="10">
        <v>4.6307692307692303</v>
      </c>
      <c r="J455" s="8" t="s">
        <v>209</v>
      </c>
      <c r="K455" s="8" t="s">
        <v>210</v>
      </c>
      <c r="L455" s="8" t="s">
        <v>79</v>
      </c>
      <c r="M455" s="8" t="s">
        <v>1365</v>
      </c>
      <c r="N455" s="13" t="str">
        <f>HYPERLINK("http://slimages.macys.com/is/image/MCY/3869811 ")</f>
        <v xml:space="preserve">http://slimages.macys.com/is/image/MCY/3869811 </v>
      </c>
    </row>
    <row r="456" spans="1:14" ht="48" x14ac:dyDescent="0.25">
      <c r="A456" s="12" t="s">
        <v>1366</v>
      </c>
      <c r="B456" s="8" t="s">
        <v>1367</v>
      </c>
      <c r="C456" s="9">
        <v>1</v>
      </c>
      <c r="D456" s="10">
        <v>8.52</v>
      </c>
      <c r="E456" s="10">
        <v>24.99</v>
      </c>
      <c r="F456" s="9">
        <v>10012658900</v>
      </c>
      <c r="G456" s="8" t="s">
        <v>50</v>
      </c>
      <c r="H456" s="12" t="s">
        <v>46</v>
      </c>
      <c r="I456" s="10">
        <v>4.5876923076923077</v>
      </c>
      <c r="J456" s="8" t="s">
        <v>202</v>
      </c>
      <c r="K456" s="8" t="s">
        <v>1301</v>
      </c>
      <c r="L456" s="8"/>
      <c r="M456" s="8"/>
      <c r="N456" s="13" t="str">
        <f>HYPERLINK("http://slimages.macys.com/is/image/MCY/19198296 ")</f>
        <v xml:space="preserve">http://slimages.macys.com/is/image/MCY/19198296 </v>
      </c>
    </row>
    <row r="457" spans="1:14" ht="48" x14ac:dyDescent="0.25">
      <c r="A457" s="12" t="s">
        <v>1368</v>
      </c>
      <c r="B457" s="8" t="s">
        <v>1369</v>
      </c>
      <c r="C457" s="9">
        <v>1</v>
      </c>
      <c r="D457" s="10">
        <v>8.5</v>
      </c>
      <c r="E457" s="10">
        <v>17</v>
      </c>
      <c r="F457" s="9" t="s">
        <v>1370</v>
      </c>
      <c r="G457" s="8" t="s">
        <v>35</v>
      </c>
      <c r="H457" s="12" t="s">
        <v>665</v>
      </c>
      <c r="I457" s="10">
        <v>4.5769230769230766</v>
      </c>
      <c r="J457" s="8" t="s">
        <v>254</v>
      </c>
      <c r="K457" s="8" t="s">
        <v>116</v>
      </c>
      <c r="L457" s="8" t="s">
        <v>31</v>
      </c>
      <c r="M457" s="8" t="s">
        <v>271</v>
      </c>
      <c r="N457" s="13" t="str">
        <f>HYPERLINK("http://slimages.macys.com/is/image/MCY/9052480 ")</f>
        <v xml:space="preserve">http://slimages.macys.com/is/image/MCY/9052480 </v>
      </c>
    </row>
    <row r="458" spans="1:14" ht="48" x14ac:dyDescent="0.25">
      <c r="A458" s="12" t="s">
        <v>1371</v>
      </c>
      <c r="B458" s="8" t="s">
        <v>1372</v>
      </c>
      <c r="C458" s="9">
        <v>2</v>
      </c>
      <c r="D458" s="10">
        <v>8.5</v>
      </c>
      <c r="E458" s="10">
        <v>16.989999999999998</v>
      </c>
      <c r="F458" s="9" t="s">
        <v>1373</v>
      </c>
      <c r="G458" s="8" t="s">
        <v>50</v>
      </c>
      <c r="H458" s="12"/>
      <c r="I458" s="10">
        <v>4.5769230769230766</v>
      </c>
      <c r="J458" s="8" t="s">
        <v>254</v>
      </c>
      <c r="K458" s="8" t="s">
        <v>68</v>
      </c>
      <c r="L458" s="8"/>
      <c r="M458" s="8" t="s">
        <v>271</v>
      </c>
      <c r="N458" s="13" t="str">
        <f>HYPERLINK("http://slimages.macys.com/is/image/MCY/273291 ")</f>
        <v xml:space="preserve">http://slimages.macys.com/is/image/MCY/273291 </v>
      </c>
    </row>
    <row r="459" spans="1:14" ht="48" x14ac:dyDescent="0.25">
      <c r="A459" s="12" t="s">
        <v>1374</v>
      </c>
      <c r="B459" s="8" t="s">
        <v>1375</v>
      </c>
      <c r="C459" s="9">
        <v>1</v>
      </c>
      <c r="D459" s="10">
        <v>8.5</v>
      </c>
      <c r="E459" s="10">
        <v>16.989999999999998</v>
      </c>
      <c r="F459" s="9" t="s">
        <v>1376</v>
      </c>
      <c r="G459" s="8" t="s">
        <v>50</v>
      </c>
      <c r="H459" s="12" t="s">
        <v>115</v>
      </c>
      <c r="I459" s="10">
        <v>4.5769230769230766</v>
      </c>
      <c r="J459" s="8" t="s">
        <v>254</v>
      </c>
      <c r="K459" s="8" t="s">
        <v>68</v>
      </c>
      <c r="L459" s="8"/>
      <c r="M459" s="8" t="s">
        <v>271</v>
      </c>
      <c r="N459" s="13" t="str">
        <f>HYPERLINK("http://slimages.macys.com/is/image/MCY/273291 ")</f>
        <v xml:space="preserve">http://slimages.macys.com/is/image/MCY/273291 </v>
      </c>
    </row>
    <row r="460" spans="1:14" ht="48" x14ac:dyDescent="0.25">
      <c r="A460" s="12" t="s">
        <v>1377</v>
      </c>
      <c r="B460" s="8" t="s">
        <v>1378</v>
      </c>
      <c r="C460" s="9">
        <v>1</v>
      </c>
      <c r="D460" s="10">
        <v>8.5</v>
      </c>
      <c r="E460" s="10">
        <v>16.989999999999998</v>
      </c>
      <c r="F460" s="9" t="s">
        <v>1379</v>
      </c>
      <c r="G460" s="8" t="s">
        <v>50</v>
      </c>
      <c r="H460" s="12" t="s">
        <v>115</v>
      </c>
      <c r="I460" s="10">
        <v>4.5769230769230766</v>
      </c>
      <c r="J460" s="8" t="s">
        <v>254</v>
      </c>
      <c r="K460" s="8" t="s">
        <v>68</v>
      </c>
      <c r="L460" s="8"/>
      <c r="M460" s="8" t="s">
        <v>271</v>
      </c>
      <c r="N460" s="13" t="str">
        <f>HYPERLINK("http://slimages.macys.com/is/image/MCY/273291 ")</f>
        <v xml:space="preserve">http://slimages.macys.com/is/image/MCY/273291 </v>
      </c>
    </row>
    <row r="461" spans="1:14" ht="48" x14ac:dyDescent="0.25">
      <c r="A461" s="12" t="s">
        <v>1380</v>
      </c>
      <c r="B461" s="8" t="s">
        <v>1381</v>
      </c>
      <c r="C461" s="9">
        <v>1</v>
      </c>
      <c r="D461" s="10">
        <v>8.5</v>
      </c>
      <c r="E461" s="10">
        <v>17</v>
      </c>
      <c r="F461" s="9" t="s">
        <v>1382</v>
      </c>
      <c r="G461" s="8" t="s">
        <v>35</v>
      </c>
      <c r="H461" s="12"/>
      <c r="I461" s="10">
        <v>4.5769230769230766</v>
      </c>
      <c r="J461" s="8" t="s">
        <v>254</v>
      </c>
      <c r="K461" s="8" t="s">
        <v>116</v>
      </c>
      <c r="L461" s="8" t="s">
        <v>31</v>
      </c>
      <c r="M461" s="8" t="s">
        <v>271</v>
      </c>
      <c r="N461" s="13" t="str">
        <f>HYPERLINK("http://slimages.macys.com/is/image/MCY/9052528 ")</f>
        <v xml:space="preserve">http://slimages.macys.com/is/image/MCY/9052528 </v>
      </c>
    </row>
    <row r="462" spans="1:14" ht="72" x14ac:dyDescent="0.25">
      <c r="A462" s="12" t="s">
        <v>1383</v>
      </c>
      <c r="B462" s="8" t="s">
        <v>1384</v>
      </c>
      <c r="C462" s="9">
        <v>1</v>
      </c>
      <c r="D462" s="10">
        <v>8.4700000000000006</v>
      </c>
      <c r="E462" s="10">
        <v>17.989999999999998</v>
      </c>
      <c r="F462" s="9">
        <v>1458340</v>
      </c>
      <c r="G462" s="8" t="s">
        <v>962</v>
      </c>
      <c r="H462" s="12" t="s">
        <v>115</v>
      </c>
      <c r="I462" s="10">
        <v>4.5607692307692309</v>
      </c>
      <c r="J462" s="8" t="s">
        <v>254</v>
      </c>
      <c r="K462" s="8" t="s">
        <v>1385</v>
      </c>
      <c r="L462" s="8" t="s">
        <v>79</v>
      </c>
      <c r="M462" s="8" t="s">
        <v>1386</v>
      </c>
      <c r="N462" s="13" t="str">
        <f>HYPERLINK("http://slimages.macys.com/is/image/MCY/2961330 ")</f>
        <v xml:space="preserve">http://slimages.macys.com/is/image/MCY/2961330 </v>
      </c>
    </row>
    <row r="463" spans="1:14" ht="48" x14ac:dyDescent="0.25">
      <c r="A463" s="12" t="s">
        <v>1387</v>
      </c>
      <c r="B463" s="8" t="s">
        <v>1388</v>
      </c>
      <c r="C463" s="9">
        <v>1</v>
      </c>
      <c r="D463" s="10">
        <v>8.35</v>
      </c>
      <c r="E463" s="10">
        <v>24.99</v>
      </c>
      <c r="F463" s="9" t="s">
        <v>1389</v>
      </c>
      <c r="G463" s="8" t="s">
        <v>50</v>
      </c>
      <c r="H463" s="12" t="s">
        <v>46</v>
      </c>
      <c r="I463" s="10">
        <v>4.4961538461538462</v>
      </c>
      <c r="J463" s="8" t="s">
        <v>262</v>
      </c>
      <c r="K463" s="8" t="s">
        <v>1216</v>
      </c>
      <c r="L463" s="8" t="s">
        <v>383</v>
      </c>
      <c r="M463" s="8" t="s">
        <v>1276</v>
      </c>
      <c r="N463" s="13" t="str">
        <f>HYPERLINK("http://slimages.macys.com/is/image/MCY/9293733 ")</f>
        <v xml:space="preserve">http://slimages.macys.com/is/image/MCY/9293733 </v>
      </c>
    </row>
    <row r="464" spans="1:14" ht="60" x14ac:dyDescent="0.25">
      <c r="A464" s="12" t="s">
        <v>1390</v>
      </c>
      <c r="B464" s="8" t="s">
        <v>1391</v>
      </c>
      <c r="C464" s="9">
        <v>2</v>
      </c>
      <c r="D464" s="10">
        <v>8.2899999999999991</v>
      </c>
      <c r="E464" s="10">
        <v>34.99</v>
      </c>
      <c r="F464" s="9">
        <v>10013053700</v>
      </c>
      <c r="G464" s="8" t="s">
        <v>50</v>
      </c>
      <c r="H464" s="12" t="s">
        <v>46</v>
      </c>
      <c r="I464" s="10">
        <v>4.4638461538461538</v>
      </c>
      <c r="J464" s="8" t="s">
        <v>202</v>
      </c>
      <c r="K464" s="8" t="s">
        <v>408</v>
      </c>
      <c r="L464" s="8"/>
      <c r="M464" s="8"/>
      <c r="N464" s="13" t="str">
        <f>HYPERLINK("http://slimages.macys.com/is/image/MCY/19140639 ")</f>
        <v xml:space="preserve">http://slimages.macys.com/is/image/MCY/19140639 </v>
      </c>
    </row>
    <row r="465" spans="1:14" ht="48" x14ac:dyDescent="0.25">
      <c r="A465" s="12" t="s">
        <v>1392</v>
      </c>
      <c r="B465" s="8" t="s">
        <v>1393</v>
      </c>
      <c r="C465" s="9">
        <v>1</v>
      </c>
      <c r="D465" s="10">
        <v>8.25</v>
      </c>
      <c r="E465" s="10">
        <v>12.99</v>
      </c>
      <c r="F465" s="9" t="s">
        <v>1394</v>
      </c>
      <c r="G465" s="8" t="s">
        <v>67</v>
      </c>
      <c r="H465" s="12" t="s">
        <v>46</v>
      </c>
      <c r="I465" s="10">
        <v>4.4423076923076925</v>
      </c>
      <c r="J465" s="8" t="s">
        <v>29</v>
      </c>
      <c r="K465" s="8" t="s">
        <v>226</v>
      </c>
      <c r="L465" s="8" t="s">
        <v>31</v>
      </c>
      <c r="M465" s="8" t="s">
        <v>1395</v>
      </c>
      <c r="N465" s="13" t="str">
        <f>HYPERLINK("http://slimages.macys.com/is/image/MCY/3633910 ")</f>
        <v xml:space="preserve">http://slimages.macys.com/is/image/MCY/3633910 </v>
      </c>
    </row>
    <row r="466" spans="1:14" ht="48" x14ac:dyDescent="0.25">
      <c r="A466" s="12" t="s">
        <v>1396</v>
      </c>
      <c r="B466" s="8" t="s">
        <v>1397</v>
      </c>
      <c r="C466" s="9">
        <v>1</v>
      </c>
      <c r="D466" s="10">
        <v>8.2100000000000009</v>
      </c>
      <c r="E466" s="10">
        <v>16.989999999999998</v>
      </c>
      <c r="F466" s="9">
        <v>14420</v>
      </c>
      <c r="G466" s="8" t="s">
        <v>50</v>
      </c>
      <c r="H466" s="12" t="s">
        <v>46</v>
      </c>
      <c r="I466" s="10">
        <v>4.4207692307692303</v>
      </c>
      <c r="J466" s="8" t="s">
        <v>262</v>
      </c>
      <c r="K466" s="8" t="s">
        <v>1398</v>
      </c>
      <c r="L466" s="8"/>
      <c r="M466" s="8"/>
      <c r="N466" s="13" t="str">
        <f>HYPERLINK("http://slimages.macys.com/is/image/MCY/18601289 ")</f>
        <v xml:space="preserve">http://slimages.macys.com/is/image/MCY/18601289 </v>
      </c>
    </row>
    <row r="467" spans="1:14" ht="48" x14ac:dyDescent="0.25">
      <c r="A467" s="12" t="s">
        <v>1399</v>
      </c>
      <c r="B467" s="8" t="s">
        <v>1400</v>
      </c>
      <c r="C467" s="9">
        <v>1</v>
      </c>
      <c r="D467" s="10">
        <v>8.2100000000000009</v>
      </c>
      <c r="E467" s="10">
        <v>16.989999999999998</v>
      </c>
      <c r="F467" s="9">
        <v>17075</v>
      </c>
      <c r="G467" s="8" t="s">
        <v>35</v>
      </c>
      <c r="H467" s="12"/>
      <c r="I467" s="10">
        <v>4.4207692307692303</v>
      </c>
      <c r="J467" s="8" t="s">
        <v>262</v>
      </c>
      <c r="K467" s="8" t="s">
        <v>1398</v>
      </c>
      <c r="L467" s="8"/>
      <c r="M467" s="8"/>
      <c r="N467" s="13" t="str">
        <f>HYPERLINK("http://slimages.macys.com/is/image/MCY/19651717 ")</f>
        <v xml:space="preserve">http://slimages.macys.com/is/image/MCY/19651717 </v>
      </c>
    </row>
    <row r="468" spans="1:14" ht="48" x14ac:dyDescent="0.25">
      <c r="A468" s="12" t="s">
        <v>1401</v>
      </c>
      <c r="B468" s="8" t="s">
        <v>1402</v>
      </c>
      <c r="C468" s="9">
        <v>1</v>
      </c>
      <c r="D468" s="10">
        <v>8.1999999999999993</v>
      </c>
      <c r="E468" s="10">
        <v>14.99</v>
      </c>
      <c r="F468" s="9" t="s">
        <v>1403</v>
      </c>
      <c r="G468" s="8" t="s">
        <v>50</v>
      </c>
      <c r="H468" s="12" t="s">
        <v>1404</v>
      </c>
      <c r="I468" s="10">
        <v>4.4153846153846157</v>
      </c>
      <c r="J468" s="8" t="s">
        <v>37</v>
      </c>
      <c r="K468" s="8" t="s">
        <v>139</v>
      </c>
      <c r="L468" s="8"/>
      <c r="M468" s="8" t="s">
        <v>69</v>
      </c>
      <c r="N468" s="13" t="str">
        <f>HYPERLINK("http://slimages.macys.com/is/image/MCY/761101 ")</f>
        <v xml:space="preserve">http://slimages.macys.com/is/image/MCY/761101 </v>
      </c>
    </row>
    <row r="469" spans="1:14" ht="48" x14ac:dyDescent="0.25">
      <c r="A469" s="12" t="s">
        <v>1405</v>
      </c>
      <c r="B469" s="8" t="s">
        <v>1406</v>
      </c>
      <c r="C469" s="9">
        <v>2</v>
      </c>
      <c r="D469" s="10">
        <v>8</v>
      </c>
      <c r="E469" s="10">
        <v>16.989999999999998</v>
      </c>
      <c r="F469" s="9" t="s">
        <v>1407</v>
      </c>
      <c r="G469" s="8" t="s">
        <v>84</v>
      </c>
      <c r="H469" s="12" t="s">
        <v>46</v>
      </c>
      <c r="I469" s="10">
        <v>4.3076923076923075</v>
      </c>
      <c r="J469" s="8" t="s">
        <v>313</v>
      </c>
      <c r="K469" s="8" t="s">
        <v>648</v>
      </c>
      <c r="L469" s="8"/>
      <c r="M469" s="8"/>
      <c r="N469" s="13" t="str">
        <f>HYPERLINK("http://slimages.macys.com/is/image/MCY/19411774 ")</f>
        <v xml:space="preserve">http://slimages.macys.com/is/image/MCY/19411774 </v>
      </c>
    </row>
    <row r="470" spans="1:14" ht="48" x14ac:dyDescent="0.25">
      <c r="A470" s="12" t="s">
        <v>1408</v>
      </c>
      <c r="B470" s="8" t="s">
        <v>1409</v>
      </c>
      <c r="C470" s="9">
        <v>2</v>
      </c>
      <c r="D470" s="10">
        <v>8</v>
      </c>
      <c r="E470" s="10">
        <v>15.99</v>
      </c>
      <c r="F470" s="9" t="s">
        <v>1410</v>
      </c>
      <c r="G470" s="8" t="s">
        <v>1411</v>
      </c>
      <c r="H470" s="12" t="s">
        <v>1251</v>
      </c>
      <c r="I470" s="10">
        <v>4.3076923076923075</v>
      </c>
      <c r="J470" s="8" t="s">
        <v>37</v>
      </c>
      <c r="K470" s="8" t="s">
        <v>86</v>
      </c>
      <c r="L470" s="8" t="s">
        <v>31</v>
      </c>
      <c r="M470" s="8" t="s">
        <v>69</v>
      </c>
      <c r="N470" s="13" t="str">
        <f>HYPERLINK("http://slimages.macys.com/is/image/MCY/10983084 ")</f>
        <v xml:space="preserve">http://slimages.macys.com/is/image/MCY/10983084 </v>
      </c>
    </row>
    <row r="471" spans="1:14" ht="48" x14ac:dyDescent="0.25">
      <c r="A471" s="12" t="s">
        <v>1412</v>
      </c>
      <c r="B471" s="8" t="s">
        <v>1413</v>
      </c>
      <c r="C471" s="9">
        <v>1</v>
      </c>
      <c r="D471" s="10">
        <v>8</v>
      </c>
      <c r="E471" s="10">
        <v>15.99</v>
      </c>
      <c r="F471" s="9" t="s">
        <v>1414</v>
      </c>
      <c r="G471" s="8" t="s">
        <v>35</v>
      </c>
      <c r="H471" s="12"/>
      <c r="I471" s="10">
        <v>4.3076923076923075</v>
      </c>
      <c r="J471" s="8" t="s">
        <v>254</v>
      </c>
      <c r="K471" s="8" t="s">
        <v>86</v>
      </c>
      <c r="L471" s="8" t="s">
        <v>31</v>
      </c>
      <c r="M471" s="8" t="s">
        <v>271</v>
      </c>
      <c r="N471" s="13" t="str">
        <f>HYPERLINK("http://slimages.macys.com/is/image/MCY/9259166 ")</f>
        <v xml:space="preserve">http://slimages.macys.com/is/image/MCY/9259166 </v>
      </c>
    </row>
    <row r="472" spans="1:14" ht="48" x14ac:dyDescent="0.25">
      <c r="A472" s="12" t="s">
        <v>1415</v>
      </c>
      <c r="B472" s="8" t="s">
        <v>1416</v>
      </c>
      <c r="C472" s="9">
        <v>1</v>
      </c>
      <c r="D472" s="10">
        <v>8</v>
      </c>
      <c r="E472" s="10">
        <v>15.99</v>
      </c>
      <c r="F472" s="9" t="s">
        <v>1417</v>
      </c>
      <c r="G472" s="8" t="s">
        <v>475</v>
      </c>
      <c r="H472" s="12" t="s">
        <v>884</v>
      </c>
      <c r="I472" s="10">
        <v>4.3076923076923075</v>
      </c>
      <c r="J472" s="8" t="s">
        <v>254</v>
      </c>
      <c r="K472" s="8" t="s">
        <v>68</v>
      </c>
      <c r="L472" s="8" t="s">
        <v>31</v>
      </c>
      <c r="M472" s="8" t="s">
        <v>69</v>
      </c>
      <c r="N472" s="13" t="str">
        <f>HYPERLINK("http://slimages.macys.com/is/image/MCY/11408313 ")</f>
        <v xml:space="preserve">http://slimages.macys.com/is/image/MCY/11408313 </v>
      </c>
    </row>
    <row r="473" spans="1:14" ht="48" x14ac:dyDescent="0.25">
      <c r="A473" s="12" t="s">
        <v>1405</v>
      </c>
      <c r="B473" s="8" t="s">
        <v>1406</v>
      </c>
      <c r="C473" s="9">
        <v>3</v>
      </c>
      <c r="D473" s="10">
        <v>8</v>
      </c>
      <c r="E473" s="10">
        <v>16.989999999999998</v>
      </c>
      <c r="F473" s="9" t="s">
        <v>1407</v>
      </c>
      <c r="G473" s="8" t="s">
        <v>84</v>
      </c>
      <c r="H473" s="12" t="s">
        <v>46</v>
      </c>
      <c r="I473" s="10">
        <v>4.3076923076923075</v>
      </c>
      <c r="J473" s="8" t="s">
        <v>313</v>
      </c>
      <c r="K473" s="8" t="s">
        <v>648</v>
      </c>
      <c r="L473" s="8"/>
      <c r="M473" s="8"/>
      <c r="N473" s="13" t="str">
        <f>HYPERLINK("http://slimages.macys.com/is/image/MCY/19411774 ")</f>
        <v xml:space="preserve">http://slimages.macys.com/is/image/MCY/19411774 </v>
      </c>
    </row>
    <row r="474" spans="1:14" ht="48" x14ac:dyDescent="0.25">
      <c r="A474" s="12" t="s">
        <v>1405</v>
      </c>
      <c r="B474" s="8" t="s">
        <v>1406</v>
      </c>
      <c r="C474" s="9">
        <v>3</v>
      </c>
      <c r="D474" s="10">
        <v>8</v>
      </c>
      <c r="E474" s="10">
        <v>16.989999999999998</v>
      </c>
      <c r="F474" s="9" t="s">
        <v>1407</v>
      </c>
      <c r="G474" s="8" t="s">
        <v>84</v>
      </c>
      <c r="H474" s="12" t="s">
        <v>46</v>
      </c>
      <c r="I474" s="10">
        <v>4.3076923076923075</v>
      </c>
      <c r="J474" s="8" t="s">
        <v>313</v>
      </c>
      <c r="K474" s="8" t="s">
        <v>648</v>
      </c>
      <c r="L474" s="8"/>
      <c r="M474" s="8"/>
      <c r="N474" s="13" t="str">
        <f>HYPERLINK("http://slimages.macys.com/is/image/MCY/19411774 ")</f>
        <v xml:space="preserve">http://slimages.macys.com/is/image/MCY/19411774 </v>
      </c>
    </row>
    <row r="475" spans="1:14" ht="48" x14ac:dyDescent="0.25">
      <c r="A475" s="12" t="s">
        <v>1418</v>
      </c>
      <c r="B475" s="8" t="s">
        <v>1419</v>
      </c>
      <c r="C475" s="9">
        <v>1</v>
      </c>
      <c r="D475" s="10">
        <v>7.95</v>
      </c>
      <c r="E475" s="10">
        <v>14.99</v>
      </c>
      <c r="F475" s="9" t="s">
        <v>1420</v>
      </c>
      <c r="G475" s="8" t="s">
        <v>50</v>
      </c>
      <c r="H475" s="12" t="s">
        <v>46</v>
      </c>
      <c r="I475" s="10">
        <v>4.2807692307692307</v>
      </c>
      <c r="J475" s="8" t="s">
        <v>29</v>
      </c>
      <c r="K475" s="8" t="s">
        <v>1421</v>
      </c>
      <c r="L475" s="8" t="s">
        <v>31</v>
      </c>
      <c r="M475" s="8" t="s">
        <v>80</v>
      </c>
      <c r="N475" s="13" t="str">
        <f>HYPERLINK("http://slimages.macys.com/is/image/MCY/14459505 ")</f>
        <v xml:space="preserve">http://slimages.macys.com/is/image/MCY/14459505 </v>
      </c>
    </row>
    <row r="476" spans="1:14" ht="48" x14ac:dyDescent="0.25">
      <c r="A476" s="12" t="s">
        <v>1422</v>
      </c>
      <c r="B476" s="8" t="s">
        <v>1423</v>
      </c>
      <c r="C476" s="9">
        <v>1</v>
      </c>
      <c r="D476" s="10">
        <v>7.85</v>
      </c>
      <c r="E476" s="10">
        <v>14.99</v>
      </c>
      <c r="F476" s="9">
        <v>5117547</v>
      </c>
      <c r="G476" s="8" t="s">
        <v>475</v>
      </c>
      <c r="H476" s="12" t="s">
        <v>1251</v>
      </c>
      <c r="I476" s="10">
        <v>4.226923076923077</v>
      </c>
      <c r="J476" s="8" t="s">
        <v>254</v>
      </c>
      <c r="K476" s="8" t="s">
        <v>139</v>
      </c>
      <c r="L476" s="8"/>
      <c r="M476" s="8"/>
      <c r="N476" s="13" t="str">
        <f>HYPERLINK("http://slimages.macys.com/is/image/MCY/1743834 ")</f>
        <v xml:space="preserve">http://slimages.macys.com/is/image/MCY/1743834 </v>
      </c>
    </row>
    <row r="477" spans="1:14" ht="48" x14ac:dyDescent="0.25">
      <c r="A477" s="12" t="s">
        <v>1424</v>
      </c>
      <c r="B477" s="8" t="s">
        <v>1425</v>
      </c>
      <c r="C477" s="9">
        <v>1</v>
      </c>
      <c r="D477" s="10">
        <v>7.82</v>
      </c>
      <c r="E477" s="10">
        <v>24.99</v>
      </c>
      <c r="F477" s="9">
        <v>100141655</v>
      </c>
      <c r="G477" s="8" t="s">
        <v>50</v>
      </c>
      <c r="H477" s="12" t="s">
        <v>46</v>
      </c>
      <c r="I477" s="10">
        <v>4.2107692307692304</v>
      </c>
      <c r="J477" s="8" t="s">
        <v>561</v>
      </c>
      <c r="K477" s="8" t="s">
        <v>1187</v>
      </c>
      <c r="L477" s="8"/>
      <c r="M477" s="8"/>
      <c r="N477" s="13" t="str">
        <f>HYPERLINK("http://slimages.macys.com/is/image/MCY/1037036 ")</f>
        <v xml:space="preserve">http://slimages.macys.com/is/image/MCY/1037036 </v>
      </c>
    </row>
    <row r="478" spans="1:14" ht="48" x14ac:dyDescent="0.25">
      <c r="A478" s="12" t="s">
        <v>1426</v>
      </c>
      <c r="B478" s="8" t="s">
        <v>1427</v>
      </c>
      <c r="C478" s="9">
        <v>1</v>
      </c>
      <c r="D478" s="10">
        <v>7.81</v>
      </c>
      <c r="E478" s="10">
        <v>14.99</v>
      </c>
      <c r="F478" s="9">
        <v>6020977</v>
      </c>
      <c r="G478" s="8" t="s">
        <v>50</v>
      </c>
      <c r="H478" s="12" t="s">
        <v>46</v>
      </c>
      <c r="I478" s="10">
        <v>4.2053846153846148</v>
      </c>
      <c r="J478" s="8" t="s">
        <v>254</v>
      </c>
      <c r="K478" s="8" t="s">
        <v>382</v>
      </c>
      <c r="L478" s="8" t="s">
        <v>79</v>
      </c>
      <c r="M478" s="8" t="s">
        <v>1428</v>
      </c>
      <c r="N478" s="13" t="str">
        <f>HYPERLINK("http://slimages.macys.com/is/image/MCY/8374139 ")</f>
        <v xml:space="preserve">http://slimages.macys.com/is/image/MCY/8374139 </v>
      </c>
    </row>
    <row r="479" spans="1:14" ht="48" x14ac:dyDescent="0.25">
      <c r="A479" s="12" t="s">
        <v>1426</v>
      </c>
      <c r="B479" s="8" t="s">
        <v>1427</v>
      </c>
      <c r="C479" s="9">
        <v>1</v>
      </c>
      <c r="D479" s="10">
        <v>7.81</v>
      </c>
      <c r="E479" s="10">
        <v>14.99</v>
      </c>
      <c r="F479" s="9">
        <v>6020977</v>
      </c>
      <c r="G479" s="8" t="s">
        <v>50</v>
      </c>
      <c r="H479" s="12" t="s">
        <v>46</v>
      </c>
      <c r="I479" s="10">
        <v>4.2053846153846148</v>
      </c>
      <c r="J479" s="8" t="s">
        <v>254</v>
      </c>
      <c r="K479" s="8" t="s">
        <v>382</v>
      </c>
      <c r="L479" s="8" t="s">
        <v>79</v>
      </c>
      <c r="M479" s="8" t="s">
        <v>1428</v>
      </c>
      <c r="N479" s="13" t="str">
        <f>HYPERLINK("http://slimages.macys.com/is/image/MCY/8374139 ")</f>
        <v xml:space="preserve">http://slimages.macys.com/is/image/MCY/8374139 </v>
      </c>
    </row>
    <row r="480" spans="1:14" ht="48" x14ac:dyDescent="0.25">
      <c r="A480" s="12" t="s">
        <v>1426</v>
      </c>
      <c r="B480" s="8" t="s">
        <v>1427</v>
      </c>
      <c r="C480" s="9">
        <v>2</v>
      </c>
      <c r="D480" s="10">
        <v>7.81</v>
      </c>
      <c r="E480" s="10">
        <v>14.99</v>
      </c>
      <c r="F480" s="9">
        <v>6020977</v>
      </c>
      <c r="G480" s="8" t="s">
        <v>50</v>
      </c>
      <c r="H480" s="12" t="s">
        <v>46</v>
      </c>
      <c r="I480" s="10">
        <v>4.2053846153846148</v>
      </c>
      <c r="J480" s="8" t="s">
        <v>254</v>
      </c>
      <c r="K480" s="8" t="s">
        <v>382</v>
      </c>
      <c r="L480" s="8" t="s">
        <v>79</v>
      </c>
      <c r="M480" s="8" t="s">
        <v>1428</v>
      </c>
      <c r="N480" s="13" t="str">
        <f>HYPERLINK("http://slimages.macys.com/is/image/MCY/8374139 ")</f>
        <v xml:space="preserve">http://slimages.macys.com/is/image/MCY/8374139 </v>
      </c>
    </row>
    <row r="481" spans="1:14" ht="48" x14ac:dyDescent="0.25">
      <c r="A481" s="12" t="s">
        <v>1429</v>
      </c>
      <c r="B481" s="8" t="s">
        <v>1430</v>
      </c>
      <c r="C481" s="9">
        <v>1</v>
      </c>
      <c r="D481" s="10">
        <v>7.79</v>
      </c>
      <c r="E481" s="10">
        <v>24.99</v>
      </c>
      <c r="F481" s="9">
        <v>100117106</v>
      </c>
      <c r="G481" s="8" t="s">
        <v>50</v>
      </c>
      <c r="H481" s="12" t="s">
        <v>46</v>
      </c>
      <c r="I481" s="10">
        <v>4.1946153846153846</v>
      </c>
      <c r="J481" s="8" t="s">
        <v>561</v>
      </c>
      <c r="K481" s="8" t="s">
        <v>1187</v>
      </c>
      <c r="L481" s="8"/>
      <c r="M481" s="8"/>
      <c r="N481" s="13" t="str">
        <f>HYPERLINK("http://slimages.macys.com/is/image/MCY/18248612 ")</f>
        <v xml:space="preserve">http://slimages.macys.com/is/image/MCY/18248612 </v>
      </c>
    </row>
    <row r="482" spans="1:14" ht="48" x14ac:dyDescent="0.25">
      <c r="A482" s="12" t="s">
        <v>1431</v>
      </c>
      <c r="B482" s="8" t="s">
        <v>1432</v>
      </c>
      <c r="C482" s="9">
        <v>1</v>
      </c>
      <c r="D482" s="10">
        <v>7.75</v>
      </c>
      <c r="E482" s="10">
        <v>23.99</v>
      </c>
      <c r="F482" s="9" t="s">
        <v>1433</v>
      </c>
      <c r="G482" s="8" t="s">
        <v>35</v>
      </c>
      <c r="H482" s="12" t="s">
        <v>46</v>
      </c>
      <c r="I482" s="10">
        <v>4.1730769230769225</v>
      </c>
      <c r="J482" s="8" t="s">
        <v>29</v>
      </c>
      <c r="K482" s="8" t="s">
        <v>618</v>
      </c>
      <c r="L482" s="8"/>
      <c r="M482" s="8"/>
      <c r="N482" s="13" t="str">
        <f>HYPERLINK("http://slimages.macys.com/is/image/MCY/18747497 ")</f>
        <v xml:space="preserve">http://slimages.macys.com/is/image/MCY/18747497 </v>
      </c>
    </row>
    <row r="483" spans="1:14" ht="48" x14ac:dyDescent="0.25">
      <c r="A483" s="12" t="s">
        <v>1434</v>
      </c>
      <c r="B483" s="8" t="s">
        <v>1435</v>
      </c>
      <c r="C483" s="9">
        <v>2</v>
      </c>
      <c r="D483" s="10">
        <v>7.6</v>
      </c>
      <c r="E483" s="10">
        <v>20.99</v>
      </c>
      <c r="F483" s="9" t="s">
        <v>1436</v>
      </c>
      <c r="G483" s="8" t="s">
        <v>137</v>
      </c>
      <c r="H483" s="12" t="s">
        <v>46</v>
      </c>
      <c r="I483" s="10">
        <v>4.092307692307692</v>
      </c>
      <c r="J483" s="8" t="s">
        <v>313</v>
      </c>
      <c r="K483" s="8" t="s">
        <v>648</v>
      </c>
      <c r="L483" s="8"/>
      <c r="M483" s="8"/>
      <c r="N483" s="13" t="str">
        <f>HYPERLINK("http://slimages.macys.com/is/image/MCY/16803999 ")</f>
        <v xml:space="preserve">http://slimages.macys.com/is/image/MCY/16803999 </v>
      </c>
    </row>
    <row r="484" spans="1:14" ht="48" x14ac:dyDescent="0.25">
      <c r="A484" s="12" t="s">
        <v>1437</v>
      </c>
      <c r="B484" s="8" t="s">
        <v>1438</v>
      </c>
      <c r="C484" s="9">
        <v>1</v>
      </c>
      <c r="D484" s="10">
        <v>7.5</v>
      </c>
      <c r="E484" s="10">
        <v>18.989999999999998</v>
      </c>
      <c r="F484" s="9">
        <v>22604</v>
      </c>
      <c r="G484" s="8"/>
      <c r="H484" s="12" t="s">
        <v>46</v>
      </c>
      <c r="I484" s="10">
        <v>4.0384615384615383</v>
      </c>
      <c r="J484" s="8" t="s">
        <v>262</v>
      </c>
      <c r="K484" s="8" t="s">
        <v>695</v>
      </c>
      <c r="L484" s="8" t="s">
        <v>31</v>
      </c>
      <c r="M484" s="8" t="s">
        <v>866</v>
      </c>
      <c r="N484" s="13" t="str">
        <f>HYPERLINK("http://slimages.macys.com/is/image/MCY/12671590 ")</f>
        <v xml:space="preserve">http://slimages.macys.com/is/image/MCY/12671590 </v>
      </c>
    </row>
    <row r="485" spans="1:14" ht="48" x14ac:dyDescent="0.25">
      <c r="A485" s="12" t="s">
        <v>1439</v>
      </c>
      <c r="B485" s="8" t="s">
        <v>1440</v>
      </c>
      <c r="C485" s="9">
        <v>1</v>
      </c>
      <c r="D485" s="10">
        <v>7.5</v>
      </c>
      <c r="E485" s="10">
        <v>14.99</v>
      </c>
      <c r="F485" s="9">
        <v>97702</v>
      </c>
      <c r="G485" s="8" t="s">
        <v>50</v>
      </c>
      <c r="H485" s="12" t="s">
        <v>46</v>
      </c>
      <c r="I485" s="10">
        <v>4.0384615384615383</v>
      </c>
      <c r="J485" s="8" t="s">
        <v>313</v>
      </c>
      <c r="K485" s="8" t="s">
        <v>695</v>
      </c>
      <c r="L485" s="8" t="s">
        <v>31</v>
      </c>
      <c r="M485" s="8" t="s">
        <v>1146</v>
      </c>
      <c r="N485" s="13" t="str">
        <f>HYPERLINK("http://slimages.macys.com/is/image/MCY/12698729 ")</f>
        <v xml:space="preserve">http://slimages.macys.com/is/image/MCY/12698729 </v>
      </c>
    </row>
    <row r="486" spans="1:14" ht="48" x14ac:dyDescent="0.25">
      <c r="A486" s="12" t="s">
        <v>1441</v>
      </c>
      <c r="B486" s="8" t="s">
        <v>1442</v>
      </c>
      <c r="C486" s="9">
        <v>1</v>
      </c>
      <c r="D486" s="10">
        <v>7.5</v>
      </c>
      <c r="E486" s="10">
        <v>14.99</v>
      </c>
      <c r="F486" s="9" t="s">
        <v>1443</v>
      </c>
      <c r="G486" s="8" t="s">
        <v>50</v>
      </c>
      <c r="H486" s="12" t="s">
        <v>359</v>
      </c>
      <c r="I486" s="10">
        <v>4.0384615384615383</v>
      </c>
      <c r="J486" s="8" t="s">
        <v>262</v>
      </c>
      <c r="K486" s="8" t="s">
        <v>139</v>
      </c>
      <c r="L486" s="8"/>
      <c r="M486" s="8"/>
      <c r="N486" s="13" t="str">
        <f>HYPERLINK("http://slimages.macys.com/is/image/MCY/1136659 ")</f>
        <v xml:space="preserve">http://slimages.macys.com/is/image/MCY/1136659 </v>
      </c>
    </row>
    <row r="487" spans="1:14" ht="48" x14ac:dyDescent="0.25">
      <c r="A487" s="12" t="s">
        <v>1444</v>
      </c>
      <c r="B487" s="8" t="s">
        <v>1445</v>
      </c>
      <c r="C487" s="9">
        <v>1</v>
      </c>
      <c r="D487" s="10">
        <v>7.5</v>
      </c>
      <c r="E487" s="10">
        <v>14.99</v>
      </c>
      <c r="F487" s="9" t="s">
        <v>1446</v>
      </c>
      <c r="G487" s="8" t="s">
        <v>1411</v>
      </c>
      <c r="H487" s="12" t="s">
        <v>115</v>
      </c>
      <c r="I487" s="10">
        <v>4.0384615384615383</v>
      </c>
      <c r="J487" s="8" t="s">
        <v>254</v>
      </c>
      <c r="K487" s="8" t="s">
        <v>68</v>
      </c>
      <c r="L487" s="8"/>
      <c r="M487" s="8" t="s">
        <v>271</v>
      </c>
      <c r="N487" s="13" t="str">
        <f>HYPERLINK("http://slimages.macys.com/is/image/MCY/273291 ")</f>
        <v xml:space="preserve">http://slimages.macys.com/is/image/MCY/273291 </v>
      </c>
    </row>
    <row r="488" spans="1:14" ht="48" x14ac:dyDescent="0.25">
      <c r="A488" s="12" t="s">
        <v>1439</v>
      </c>
      <c r="B488" s="8" t="s">
        <v>1447</v>
      </c>
      <c r="C488" s="9">
        <v>3</v>
      </c>
      <c r="D488" s="10">
        <v>7.5</v>
      </c>
      <c r="E488" s="10">
        <v>14.99</v>
      </c>
      <c r="F488" s="9">
        <v>97702</v>
      </c>
      <c r="G488" s="8" t="s">
        <v>50</v>
      </c>
      <c r="H488" s="12" t="s">
        <v>46</v>
      </c>
      <c r="I488" s="10">
        <v>4.0384615384615383</v>
      </c>
      <c r="J488" s="8" t="s">
        <v>313</v>
      </c>
      <c r="K488" s="8" t="s">
        <v>695</v>
      </c>
      <c r="L488" s="8" t="s">
        <v>31</v>
      </c>
      <c r="M488" s="8" t="s">
        <v>1146</v>
      </c>
      <c r="N488" s="13" t="str">
        <f>HYPERLINK("http://slimages.macys.com/is/image/MCY/12698729 ")</f>
        <v xml:space="preserve">http://slimages.macys.com/is/image/MCY/12698729 </v>
      </c>
    </row>
    <row r="489" spans="1:14" ht="48" x14ac:dyDescent="0.25">
      <c r="A489" s="12" t="s">
        <v>1448</v>
      </c>
      <c r="B489" s="8" t="s">
        <v>1449</v>
      </c>
      <c r="C489" s="9">
        <v>1</v>
      </c>
      <c r="D489" s="10">
        <v>7.5</v>
      </c>
      <c r="E489" s="10">
        <v>16.989999999999998</v>
      </c>
      <c r="F489" s="9" t="s">
        <v>1450</v>
      </c>
      <c r="G489" s="8" t="s">
        <v>454</v>
      </c>
      <c r="H489" s="12" t="s">
        <v>46</v>
      </c>
      <c r="I489" s="10">
        <v>4.0384615384615383</v>
      </c>
      <c r="J489" s="8" t="s">
        <v>313</v>
      </c>
      <c r="K489" s="8" t="s">
        <v>648</v>
      </c>
      <c r="L489" s="8"/>
      <c r="M489" s="8"/>
      <c r="N489" s="13" t="str">
        <f>HYPERLINK("http://slimages.macys.com/is/image/MCY/19411815 ")</f>
        <v xml:space="preserve">http://slimages.macys.com/is/image/MCY/19411815 </v>
      </c>
    </row>
    <row r="490" spans="1:14" ht="48" x14ac:dyDescent="0.25">
      <c r="A490" s="12" t="s">
        <v>1437</v>
      </c>
      <c r="B490" s="8" t="s">
        <v>1451</v>
      </c>
      <c r="C490" s="9">
        <v>1</v>
      </c>
      <c r="D490" s="10">
        <v>7.5</v>
      </c>
      <c r="E490" s="10">
        <v>18.989999999999998</v>
      </c>
      <c r="F490" s="9">
        <v>22604</v>
      </c>
      <c r="G490" s="8"/>
      <c r="H490" s="12" t="s">
        <v>46</v>
      </c>
      <c r="I490" s="10">
        <v>4.0384615384615383</v>
      </c>
      <c r="J490" s="8" t="s">
        <v>262</v>
      </c>
      <c r="K490" s="8" t="s">
        <v>695</v>
      </c>
      <c r="L490" s="8" t="s">
        <v>31</v>
      </c>
      <c r="M490" s="8" t="s">
        <v>866</v>
      </c>
      <c r="N490" s="13" t="str">
        <f>HYPERLINK("http://slimages.macys.com/is/image/MCY/12671590 ")</f>
        <v xml:space="preserve">http://slimages.macys.com/is/image/MCY/12671590 </v>
      </c>
    </row>
    <row r="491" spans="1:14" ht="48" x14ac:dyDescent="0.25">
      <c r="A491" s="12" t="s">
        <v>1448</v>
      </c>
      <c r="B491" s="8" t="s">
        <v>1449</v>
      </c>
      <c r="C491" s="9">
        <v>3</v>
      </c>
      <c r="D491" s="10">
        <v>7.5</v>
      </c>
      <c r="E491" s="10">
        <v>16.989999999999998</v>
      </c>
      <c r="F491" s="9" t="s">
        <v>1450</v>
      </c>
      <c r="G491" s="8" t="s">
        <v>454</v>
      </c>
      <c r="H491" s="12" t="s">
        <v>46</v>
      </c>
      <c r="I491" s="10">
        <v>4.0384615384615383</v>
      </c>
      <c r="J491" s="8" t="s">
        <v>313</v>
      </c>
      <c r="K491" s="8" t="s">
        <v>648</v>
      </c>
      <c r="L491" s="8"/>
      <c r="M491" s="8"/>
      <c r="N491" s="13" t="str">
        <f>HYPERLINK("http://slimages.macys.com/is/image/MCY/19411815 ")</f>
        <v xml:space="preserve">http://slimages.macys.com/is/image/MCY/19411815 </v>
      </c>
    </row>
    <row r="492" spans="1:14" ht="48" x14ac:dyDescent="0.25">
      <c r="A492" s="12" t="s">
        <v>1444</v>
      </c>
      <c r="B492" s="8" t="s">
        <v>1445</v>
      </c>
      <c r="C492" s="9">
        <v>1</v>
      </c>
      <c r="D492" s="10">
        <v>7.5</v>
      </c>
      <c r="E492" s="10">
        <v>14.99</v>
      </c>
      <c r="F492" s="9" t="s">
        <v>1446</v>
      </c>
      <c r="G492" s="8" t="s">
        <v>1411</v>
      </c>
      <c r="H492" s="12" t="s">
        <v>115</v>
      </c>
      <c r="I492" s="10">
        <v>4.0384615384615383</v>
      </c>
      <c r="J492" s="8" t="s">
        <v>254</v>
      </c>
      <c r="K492" s="8" t="s">
        <v>68</v>
      </c>
      <c r="L492" s="8"/>
      <c r="M492" s="8" t="s">
        <v>271</v>
      </c>
      <c r="N492" s="13" t="str">
        <f>HYPERLINK("http://slimages.macys.com/is/image/MCY/273291 ")</f>
        <v xml:space="preserve">http://slimages.macys.com/is/image/MCY/273291 </v>
      </c>
    </row>
    <row r="493" spans="1:14" ht="48" x14ac:dyDescent="0.25">
      <c r="A493" s="12" t="s">
        <v>1452</v>
      </c>
      <c r="B493" s="8" t="s">
        <v>1453</v>
      </c>
      <c r="C493" s="9">
        <v>5</v>
      </c>
      <c r="D493" s="10">
        <v>7.5</v>
      </c>
      <c r="E493" s="10">
        <v>21.99</v>
      </c>
      <c r="F493" s="9" t="s">
        <v>1454</v>
      </c>
      <c r="G493" s="8" t="s">
        <v>67</v>
      </c>
      <c r="H493" s="12" t="s">
        <v>46</v>
      </c>
      <c r="I493" s="10">
        <v>4.0384615384615383</v>
      </c>
      <c r="J493" s="8" t="s">
        <v>29</v>
      </c>
      <c r="K493" s="8" t="s">
        <v>618</v>
      </c>
      <c r="L493" s="8"/>
      <c r="M493" s="8"/>
      <c r="N493" s="13" t="str">
        <f>HYPERLINK("http://slimages.macys.com/is/image/MCY/18747450 ")</f>
        <v xml:space="preserve">http://slimages.macys.com/is/image/MCY/18747450 </v>
      </c>
    </row>
    <row r="494" spans="1:14" ht="60" x14ac:dyDescent="0.25">
      <c r="A494" s="12" t="s">
        <v>1455</v>
      </c>
      <c r="B494" s="8" t="s">
        <v>1456</v>
      </c>
      <c r="C494" s="9">
        <v>7</v>
      </c>
      <c r="D494" s="10">
        <v>7.45</v>
      </c>
      <c r="E494" s="10">
        <v>14.95</v>
      </c>
      <c r="F494" s="9" t="s">
        <v>1457</v>
      </c>
      <c r="G494" s="8" t="s">
        <v>1287</v>
      </c>
      <c r="H494" s="12" t="s">
        <v>1458</v>
      </c>
      <c r="I494" s="10">
        <v>4.0115384615384615</v>
      </c>
      <c r="J494" s="8" t="s">
        <v>254</v>
      </c>
      <c r="K494" s="8" t="s">
        <v>1459</v>
      </c>
      <c r="L494" s="8" t="s">
        <v>31</v>
      </c>
      <c r="M494" s="8" t="s">
        <v>1460</v>
      </c>
      <c r="N494" s="13" t="str">
        <f>HYPERLINK("http://slimages.macys.com/is/image/MCY/9847118 ")</f>
        <v xml:space="preserve">http://slimages.macys.com/is/image/MCY/9847118 </v>
      </c>
    </row>
    <row r="495" spans="1:14" ht="48" x14ac:dyDescent="0.25">
      <c r="A495" s="12" t="s">
        <v>1461</v>
      </c>
      <c r="B495" s="8" t="s">
        <v>1462</v>
      </c>
      <c r="C495" s="9">
        <v>1</v>
      </c>
      <c r="D495" s="10">
        <v>7.45</v>
      </c>
      <c r="E495" s="10">
        <v>14.99</v>
      </c>
      <c r="F495" s="9">
        <v>17237</v>
      </c>
      <c r="G495" s="8" t="s">
        <v>773</v>
      </c>
      <c r="H495" s="12"/>
      <c r="I495" s="10">
        <v>4.0115384615384615</v>
      </c>
      <c r="J495" s="8" t="s">
        <v>262</v>
      </c>
      <c r="K495" s="8" t="s">
        <v>1398</v>
      </c>
      <c r="L495" s="8"/>
      <c r="M495" s="8"/>
      <c r="N495" s="13" t="str">
        <f>HYPERLINK("http://slimages.macys.com/is/image/MCY/19662918 ")</f>
        <v xml:space="preserve">http://slimages.macys.com/is/image/MCY/19662918 </v>
      </c>
    </row>
    <row r="496" spans="1:14" ht="48" x14ac:dyDescent="0.25">
      <c r="A496" s="12" t="s">
        <v>1463</v>
      </c>
      <c r="B496" s="8" t="s">
        <v>1464</v>
      </c>
      <c r="C496" s="9">
        <v>8</v>
      </c>
      <c r="D496" s="10">
        <v>7.31</v>
      </c>
      <c r="E496" s="10">
        <v>14.49</v>
      </c>
      <c r="F496" s="9" t="s">
        <v>1465</v>
      </c>
      <c r="G496" s="8" t="s">
        <v>1466</v>
      </c>
      <c r="H496" s="12"/>
      <c r="I496" s="10">
        <v>3.9361538461538461</v>
      </c>
      <c r="J496" s="8" t="s">
        <v>209</v>
      </c>
      <c r="K496" s="8" t="s">
        <v>210</v>
      </c>
      <c r="L496" s="8" t="s">
        <v>79</v>
      </c>
      <c r="M496" s="8" t="s">
        <v>376</v>
      </c>
      <c r="N496" s="13" t="str">
        <f>HYPERLINK("http://slimages.macys.com/is/image/MCY/12291190 ")</f>
        <v xml:space="preserve">http://slimages.macys.com/is/image/MCY/12291190 </v>
      </c>
    </row>
    <row r="497" spans="1:14" ht="48" x14ac:dyDescent="0.25">
      <c r="A497" s="12" t="s">
        <v>1467</v>
      </c>
      <c r="B497" s="8" t="s">
        <v>1468</v>
      </c>
      <c r="C497" s="9">
        <v>5</v>
      </c>
      <c r="D497" s="10">
        <v>7.31</v>
      </c>
      <c r="E497" s="10">
        <v>14.49</v>
      </c>
      <c r="F497" s="9" t="s">
        <v>1469</v>
      </c>
      <c r="G497" s="8" t="s">
        <v>1470</v>
      </c>
      <c r="H497" s="12"/>
      <c r="I497" s="10">
        <v>3.9361538461538461</v>
      </c>
      <c r="J497" s="8" t="s">
        <v>209</v>
      </c>
      <c r="K497" s="8" t="s">
        <v>210</v>
      </c>
      <c r="L497" s="8" t="s">
        <v>79</v>
      </c>
      <c r="M497" s="8" t="s">
        <v>376</v>
      </c>
      <c r="N497" s="13" t="str">
        <f>HYPERLINK("http://slimages.macys.com/is/image/MCY/12291190 ")</f>
        <v xml:space="preserve">http://slimages.macys.com/is/image/MCY/12291190 </v>
      </c>
    </row>
    <row r="498" spans="1:14" ht="48" x14ac:dyDescent="0.25">
      <c r="A498" s="12" t="s">
        <v>1471</v>
      </c>
      <c r="B498" s="8" t="s">
        <v>1472</v>
      </c>
      <c r="C498" s="9">
        <v>12</v>
      </c>
      <c r="D498" s="10">
        <v>7</v>
      </c>
      <c r="E498" s="10">
        <v>14.99</v>
      </c>
      <c r="F498" s="9" t="s">
        <v>1473</v>
      </c>
      <c r="G498" s="8" t="s">
        <v>67</v>
      </c>
      <c r="H498" s="12"/>
      <c r="I498" s="10">
        <v>3.7692307692307692</v>
      </c>
      <c r="J498" s="8" t="s">
        <v>262</v>
      </c>
      <c r="K498" s="8" t="s">
        <v>1252</v>
      </c>
      <c r="L498" s="8"/>
      <c r="M498" s="8"/>
      <c r="N498" s="13" t="str">
        <f>HYPERLINK("http://slimages.macys.com/is/image/MCY/19503334 ")</f>
        <v xml:space="preserve">http://slimages.macys.com/is/image/MCY/19503334 </v>
      </c>
    </row>
    <row r="499" spans="1:14" ht="48" x14ac:dyDescent="0.25">
      <c r="A499" s="12" t="s">
        <v>1474</v>
      </c>
      <c r="B499" s="8" t="s">
        <v>1475</v>
      </c>
      <c r="C499" s="9">
        <v>1</v>
      </c>
      <c r="D499" s="10">
        <v>7</v>
      </c>
      <c r="E499" s="10">
        <v>24</v>
      </c>
      <c r="F499" s="9">
        <v>21424</v>
      </c>
      <c r="G499" s="8" t="s">
        <v>137</v>
      </c>
      <c r="H499" s="12" t="s">
        <v>46</v>
      </c>
      <c r="I499" s="10">
        <v>3.7692307692307692</v>
      </c>
      <c r="J499" s="8" t="s">
        <v>313</v>
      </c>
      <c r="K499" s="8" t="s">
        <v>1074</v>
      </c>
      <c r="L499" s="8" t="s">
        <v>31</v>
      </c>
      <c r="M499" s="8" t="s">
        <v>1476</v>
      </c>
      <c r="N499" s="13" t="str">
        <f>HYPERLINK("http://slimages.macys.com/is/image/MCY/13048408 ")</f>
        <v xml:space="preserve">http://slimages.macys.com/is/image/MCY/13048408 </v>
      </c>
    </row>
    <row r="500" spans="1:14" ht="48" x14ac:dyDescent="0.25">
      <c r="A500" s="12" t="s">
        <v>1477</v>
      </c>
      <c r="B500" s="8" t="s">
        <v>1478</v>
      </c>
      <c r="C500" s="9">
        <v>3</v>
      </c>
      <c r="D500" s="10">
        <v>7</v>
      </c>
      <c r="E500" s="10">
        <v>14.99</v>
      </c>
      <c r="F500" s="9" t="s">
        <v>1479</v>
      </c>
      <c r="G500" s="8" t="s">
        <v>67</v>
      </c>
      <c r="H500" s="12" t="s">
        <v>1251</v>
      </c>
      <c r="I500" s="10">
        <v>3.7692307692307692</v>
      </c>
      <c r="J500" s="8" t="s">
        <v>262</v>
      </c>
      <c r="K500" s="8" t="s">
        <v>1204</v>
      </c>
      <c r="L500" s="8"/>
      <c r="M500" s="8"/>
      <c r="N500" s="13" t="str">
        <f>HYPERLINK("http://slimages.macys.com/is/image/MCY/18819135 ")</f>
        <v xml:space="preserve">http://slimages.macys.com/is/image/MCY/18819135 </v>
      </c>
    </row>
    <row r="501" spans="1:14" ht="48" x14ac:dyDescent="0.25">
      <c r="A501" s="12" t="s">
        <v>1480</v>
      </c>
      <c r="B501" s="8" t="s">
        <v>1481</v>
      </c>
      <c r="C501" s="9">
        <v>1</v>
      </c>
      <c r="D501" s="10">
        <v>7</v>
      </c>
      <c r="E501" s="10">
        <v>18.989999999999998</v>
      </c>
      <c r="F501" s="9">
        <v>64987</v>
      </c>
      <c r="G501" s="8" t="s">
        <v>50</v>
      </c>
      <c r="H501" s="12" t="s">
        <v>46</v>
      </c>
      <c r="I501" s="10">
        <v>3.7692307692307692</v>
      </c>
      <c r="J501" s="8" t="s">
        <v>29</v>
      </c>
      <c r="K501" s="8" t="s">
        <v>919</v>
      </c>
      <c r="L501" s="8" t="s">
        <v>31</v>
      </c>
      <c r="M501" s="8" t="s">
        <v>426</v>
      </c>
      <c r="N501" s="13" t="str">
        <f>HYPERLINK("http://slimages.macys.com/is/image/MCY/11473629 ")</f>
        <v xml:space="preserve">http://slimages.macys.com/is/image/MCY/11473629 </v>
      </c>
    </row>
    <row r="502" spans="1:14" ht="48" x14ac:dyDescent="0.25">
      <c r="A502" s="12" t="s">
        <v>1482</v>
      </c>
      <c r="B502" s="8" t="s">
        <v>1483</v>
      </c>
      <c r="C502" s="9">
        <v>1</v>
      </c>
      <c r="D502" s="10">
        <v>7</v>
      </c>
      <c r="E502" s="10">
        <v>20</v>
      </c>
      <c r="F502" s="9">
        <v>1008549</v>
      </c>
      <c r="G502" s="8" t="s">
        <v>1484</v>
      </c>
      <c r="H502" s="12" t="s">
        <v>46</v>
      </c>
      <c r="I502" s="10">
        <v>3.7692307692307692</v>
      </c>
      <c r="J502" s="8" t="s">
        <v>73</v>
      </c>
      <c r="K502" s="8" t="s">
        <v>1485</v>
      </c>
      <c r="L502" s="8" t="s">
        <v>31</v>
      </c>
      <c r="M502" s="8" t="s">
        <v>80</v>
      </c>
      <c r="N502" s="13" t="str">
        <f>HYPERLINK("http://slimages.macys.com/is/image/MCY/8376786 ")</f>
        <v xml:space="preserve">http://slimages.macys.com/is/image/MCY/8376786 </v>
      </c>
    </row>
    <row r="503" spans="1:14" ht="48" x14ac:dyDescent="0.25">
      <c r="A503" s="12" t="s">
        <v>1486</v>
      </c>
      <c r="B503" s="8" t="s">
        <v>1487</v>
      </c>
      <c r="C503" s="9">
        <v>1</v>
      </c>
      <c r="D503" s="10">
        <v>7</v>
      </c>
      <c r="E503" s="10">
        <v>20.99</v>
      </c>
      <c r="F503" s="9" t="s">
        <v>1488</v>
      </c>
      <c r="G503" s="8" t="s">
        <v>35</v>
      </c>
      <c r="H503" s="12" t="s">
        <v>46</v>
      </c>
      <c r="I503" s="10">
        <v>3.7692307692307692</v>
      </c>
      <c r="J503" s="8" t="s">
        <v>29</v>
      </c>
      <c r="K503" s="8" t="s">
        <v>1489</v>
      </c>
      <c r="L503" s="8" t="s">
        <v>31</v>
      </c>
      <c r="M503" s="8" t="s">
        <v>1490</v>
      </c>
      <c r="N503" s="13" t="str">
        <f>HYPERLINK("http://slimages.macys.com/is/image/MCY/11274905 ")</f>
        <v xml:space="preserve">http://slimages.macys.com/is/image/MCY/11274905 </v>
      </c>
    </row>
    <row r="504" spans="1:14" ht="48" x14ac:dyDescent="0.25">
      <c r="A504" s="12" t="s">
        <v>1491</v>
      </c>
      <c r="B504" s="8" t="s">
        <v>1492</v>
      </c>
      <c r="C504" s="9">
        <v>1</v>
      </c>
      <c r="D504" s="10">
        <v>6.84</v>
      </c>
      <c r="E504" s="10">
        <v>14.99</v>
      </c>
      <c r="F504" s="9">
        <v>6003110</v>
      </c>
      <c r="G504" s="8" t="s">
        <v>50</v>
      </c>
      <c r="H504" s="12" t="s">
        <v>46</v>
      </c>
      <c r="I504" s="10">
        <v>3.6830769230769231</v>
      </c>
      <c r="J504" s="8" t="s">
        <v>254</v>
      </c>
      <c r="K504" s="8" t="s">
        <v>382</v>
      </c>
      <c r="L504" s="8" t="s">
        <v>79</v>
      </c>
      <c r="M504" s="8" t="s">
        <v>1493</v>
      </c>
      <c r="N504" s="13" t="str">
        <f>HYPERLINK("http://slimages.macys.com/is/image/MCY/2086904 ")</f>
        <v xml:space="preserve">http://slimages.macys.com/is/image/MCY/2086904 </v>
      </c>
    </row>
    <row r="505" spans="1:14" ht="48" x14ac:dyDescent="0.25">
      <c r="A505" s="12" t="s">
        <v>1494</v>
      </c>
      <c r="B505" s="8" t="s">
        <v>1495</v>
      </c>
      <c r="C505" s="9">
        <v>1</v>
      </c>
      <c r="D505" s="10">
        <v>6.7</v>
      </c>
      <c r="E505" s="10">
        <v>17.989999999999998</v>
      </c>
      <c r="F505" s="9">
        <v>10012658300</v>
      </c>
      <c r="G505" s="8" t="s">
        <v>50</v>
      </c>
      <c r="H505" s="12" t="s">
        <v>46</v>
      </c>
      <c r="I505" s="10">
        <v>3.6076923076923078</v>
      </c>
      <c r="J505" s="8" t="s">
        <v>209</v>
      </c>
      <c r="K505" s="8" t="s">
        <v>1496</v>
      </c>
      <c r="L505" s="8"/>
      <c r="M505" s="8"/>
      <c r="N505" s="13" t="str">
        <f>HYPERLINK("http://slimages.macys.com/is/image/MCY/19140759 ")</f>
        <v xml:space="preserve">http://slimages.macys.com/is/image/MCY/19140759 </v>
      </c>
    </row>
    <row r="506" spans="1:14" ht="48" x14ac:dyDescent="0.25">
      <c r="A506" s="12" t="s">
        <v>1497</v>
      </c>
      <c r="B506" s="8" t="s">
        <v>1498</v>
      </c>
      <c r="C506" s="9">
        <v>1</v>
      </c>
      <c r="D506" s="10">
        <v>6.56</v>
      </c>
      <c r="E506" s="10">
        <v>17.989999999999998</v>
      </c>
      <c r="F506" s="9">
        <v>10014021900</v>
      </c>
      <c r="G506" s="8" t="s">
        <v>50</v>
      </c>
      <c r="H506" s="12" t="s">
        <v>46</v>
      </c>
      <c r="I506" s="10">
        <v>3.5323076923076919</v>
      </c>
      <c r="J506" s="8" t="s">
        <v>209</v>
      </c>
      <c r="K506" s="8" t="s">
        <v>1499</v>
      </c>
      <c r="L506" s="8"/>
      <c r="M506" s="8"/>
      <c r="N506" s="13" t="str">
        <f>HYPERLINK("http://slimages.macys.com/is/image/MCY/1106881 ")</f>
        <v xml:space="preserve">http://slimages.macys.com/is/image/MCY/1106881 </v>
      </c>
    </row>
    <row r="507" spans="1:14" ht="48" x14ac:dyDescent="0.25">
      <c r="A507" s="12" t="s">
        <v>1497</v>
      </c>
      <c r="B507" s="8" t="s">
        <v>1498</v>
      </c>
      <c r="C507" s="9">
        <v>1</v>
      </c>
      <c r="D507" s="10">
        <v>6.56</v>
      </c>
      <c r="E507" s="10">
        <v>17.989999999999998</v>
      </c>
      <c r="F507" s="9">
        <v>10014021900</v>
      </c>
      <c r="G507" s="8" t="s">
        <v>50</v>
      </c>
      <c r="H507" s="12" t="s">
        <v>46</v>
      </c>
      <c r="I507" s="10">
        <v>3.5323076923076919</v>
      </c>
      <c r="J507" s="8" t="s">
        <v>209</v>
      </c>
      <c r="K507" s="8" t="s">
        <v>1499</v>
      </c>
      <c r="L507" s="8"/>
      <c r="M507" s="8"/>
      <c r="N507" s="13" t="str">
        <f>HYPERLINK("http://slimages.macys.com/is/image/MCY/1106881 ")</f>
        <v xml:space="preserve">http://slimages.macys.com/is/image/MCY/1106881 </v>
      </c>
    </row>
    <row r="508" spans="1:14" ht="48" x14ac:dyDescent="0.25">
      <c r="A508" s="12" t="s">
        <v>1500</v>
      </c>
      <c r="B508" s="8" t="s">
        <v>1501</v>
      </c>
      <c r="C508" s="9">
        <v>1</v>
      </c>
      <c r="D508" s="10">
        <v>6.5</v>
      </c>
      <c r="E508" s="10">
        <v>12</v>
      </c>
      <c r="F508" s="9" t="s">
        <v>1502</v>
      </c>
      <c r="G508" s="8" t="s">
        <v>35</v>
      </c>
      <c r="H508" s="12" t="s">
        <v>1251</v>
      </c>
      <c r="I508" s="10">
        <v>3.4999999999999996</v>
      </c>
      <c r="J508" s="8" t="s">
        <v>254</v>
      </c>
      <c r="K508" s="8" t="s">
        <v>68</v>
      </c>
      <c r="L508" s="8"/>
      <c r="M508" s="8" t="s">
        <v>271</v>
      </c>
      <c r="N508" s="13" t="str">
        <f>HYPERLINK("http://slimages.macys.com/is/image/MCY/273287 ")</f>
        <v xml:space="preserve">http://slimages.macys.com/is/image/MCY/273287 </v>
      </c>
    </row>
    <row r="509" spans="1:14" ht="48" x14ac:dyDescent="0.25">
      <c r="A509" s="12" t="s">
        <v>1503</v>
      </c>
      <c r="B509" s="8" t="s">
        <v>1504</v>
      </c>
      <c r="C509" s="9">
        <v>1</v>
      </c>
      <c r="D509" s="10">
        <v>6.5</v>
      </c>
      <c r="E509" s="10">
        <v>13.6</v>
      </c>
      <c r="F509" s="9" t="s">
        <v>1505</v>
      </c>
      <c r="G509" s="8" t="s">
        <v>50</v>
      </c>
      <c r="H509" s="12" t="s">
        <v>1506</v>
      </c>
      <c r="I509" s="10">
        <v>3.4999999999999996</v>
      </c>
      <c r="J509" s="8" t="s">
        <v>37</v>
      </c>
      <c r="K509" s="8" t="s">
        <v>86</v>
      </c>
      <c r="L509" s="8"/>
      <c r="M509" s="8" t="s">
        <v>39</v>
      </c>
      <c r="N509" s="13" t="str">
        <f>HYPERLINK("http://slimages.macys.com/is/image/MCY/847532 ")</f>
        <v xml:space="preserve">http://slimages.macys.com/is/image/MCY/847532 </v>
      </c>
    </row>
    <row r="510" spans="1:14" ht="48" x14ac:dyDescent="0.25">
      <c r="A510" s="12" t="s">
        <v>1507</v>
      </c>
      <c r="B510" s="8" t="s">
        <v>1508</v>
      </c>
      <c r="C510" s="9">
        <v>2</v>
      </c>
      <c r="D510" s="10">
        <v>6.5</v>
      </c>
      <c r="E510" s="10">
        <v>9.99</v>
      </c>
      <c r="F510" s="9" t="s">
        <v>1509</v>
      </c>
      <c r="G510" s="8" t="s">
        <v>50</v>
      </c>
      <c r="H510" s="12" t="s">
        <v>46</v>
      </c>
      <c r="I510" s="10">
        <v>3.4999999999999996</v>
      </c>
      <c r="J510" s="8" t="s">
        <v>95</v>
      </c>
      <c r="K510" s="8" t="s">
        <v>306</v>
      </c>
      <c r="L510" s="8"/>
      <c r="M510" s="8"/>
      <c r="N510" s="13" t="str">
        <f>HYPERLINK("http://slimages.macys.com/is/image/MCY/18715994 ")</f>
        <v xml:space="preserve">http://slimages.macys.com/is/image/MCY/18715994 </v>
      </c>
    </row>
    <row r="511" spans="1:14" ht="48" x14ac:dyDescent="0.25">
      <c r="A511" s="12" t="s">
        <v>1510</v>
      </c>
      <c r="B511" s="8" t="s">
        <v>1511</v>
      </c>
      <c r="C511" s="9">
        <v>1</v>
      </c>
      <c r="D511" s="10">
        <v>6.5</v>
      </c>
      <c r="E511" s="10">
        <v>12.99</v>
      </c>
      <c r="F511" s="9" t="s">
        <v>1512</v>
      </c>
      <c r="G511" s="8" t="s">
        <v>50</v>
      </c>
      <c r="H511" s="12" t="s">
        <v>1251</v>
      </c>
      <c r="I511" s="10">
        <v>3.4999999999999996</v>
      </c>
      <c r="J511" s="8" t="s">
        <v>254</v>
      </c>
      <c r="K511" s="8" t="s">
        <v>68</v>
      </c>
      <c r="L511" s="8"/>
      <c r="M511" s="8" t="s">
        <v>271</v>
      </c>
      <c r="N511" s="13" t="str">
        <f>HYPERLINK("http://slimages.macys.com/is/image/MCY/273287 ")</f>
        <v xml:space="preserve">http://slimages.macys.com/is/image/MCY/273287 </v>
      </c>
    </row>
    <row r="512" spans="1:14" ht="48" x14ac:dyDescent="0.25">
      <c r="A512" s="12" t="s">
        <v>1507</v>
      </c>
      <c r="B512" s="8" t="s">
        <v>1508</v>
      </c>
      <c r="C512" s="9">
        <v>3</v>
      </c>
      <c r="D512" s="10">
        <v>6.5</v>
      </c>
      <c r="E512" s="10">
        <v>9.99</v>
      </c>
      <c r="F512" s="9" t="s">
        <v>1509</v>
      </c>
      <c r="G512" s="8" t="s">
        <v>50</v>
      </c>
      <c r="H512" s="12" t="s">
        <v>46</v>
      </c>
      <c r="I512" s="10">
        <v>3.4999999999999996</v>
      </c>
      <c r="J512" s="8" t="s">
        <v>95</v>
      </c>
      <c r="K512" s="8" t="s">
        <v>306</v>
      </c>
      <c r="L512" s="8"/>
      <c r="M512" s="8"/>
      <c r="N512" s="13" t="str">
        <f>HYPERLINK("http://slimages.macys.com/is/image/MCY/18715994 ")</f>
        <v xml:space="preserve">http://slimages.macys.com/is/image/MCY/18715994 </v>
      </c>
    </row>
    <row r="513" spans="1:14" ht="48" x14ac:dyDescent="0.25">
      <c r="A513" s="12" t="s">
        <v>1513</v>
      </c>
      <c r="B513" s="8" t="s">
        <v>1514</v>
      </c>
      <c r="C513" s="9">
        <v>1</v>
      </c>
      <c r="D513" s="10">
        <v>6.5</v>
      </c>
      <c r="E513" s="10">
        <v>12.99</v>
      </c>
      <c r="F513" s="9" t="s">
        <v>1515</v>
      </c>
      <c r="G513" s="8" t="s">
        <v>50</v>
      </c>
      <c r="H513" s="12" t="s">
        <v>1506</v>
      </c>
      <c r="I513" s="10">
        <v>3.4999999999999996</v>
      </c>
      <c r="J513" s="8" t="s">
        <v>37</v>
      </c>
      <c r="K513" s="8" t="s">
        <v>86</v>
      </c>
      <c r="L513" s="8"/>
      <c r="M513" s="8" t="s">
        <v>39</v>
      </c>
      <c r="N513" s="13" t="str">
        <f>HYPERLINK("http://slimages.macys.com/is/image/MCY/751028 ")</f>
        <v xml:space="preserve">http://slimages.macys.com/is/image/MCY/751028 </v>
      </c>
    </row>
    <row r="514" spans="1:14" ht="48" x14ac:dyDescent="0.25">
      <c r="A514" s="12" t="s">
        <v>1516</v>
      </c>
      <c r="B514" s="8" t="s">
        <v>1517</v>
      </c>
      <c r="C514" s="9">
        <v>4</v>
      </c>
      <c r="D514" s="10">
        <v>6.47</v>
      </c>
      <c r="E514" s="10">
        <v>19.989999999999998</v>
      </c>
      <c r="F514" s="9">
        <v>10012656900</v>
      </c>
      <c r="G514" s="8" t="s">
        <v>50</v>
      </c>
      <c r="H514" s="12" t="s">
        <v>46</v>
      </c>
      <c r="I514" s="10">
        <v>3.4838461538461538</v>
      </c>
      <c r="J514" s="8" t="s">
        <v>202</v>
      </c>
      <c r="K514" s="8" t="s">
        <v>1518</v>
      </c>
      <c r="L514" s="8"/>
      <c r="M514" s="8"/>
      <c r="N514" s="13" t="str">
        <f>HYPERLINK("http://slimages.macys.com/is/image/MCY/19140784 ")</f>
        <v xml:space="preserve">http://slimages.macys.com/is/image/MCY/19140784 </v>
      </c>
    </row>
    <row r="515" spans="1:14" ht="48" x14ac:dyDescent="0.25">
      <c r="A515" s="12" t="s">
        <v>1519</v>
      </c>
      <c r="B515" s="8" t="s">
        <v>1520</v>
      </c>
      <c r="C515" s="9">
        <v>1</v>
      </c>
      <c r="D515" s="10">
        <v>6.47</v>
      </c>
      <c r="E515" s="10">
        <v>19.989999999999998</v>
      </c>
      <c r="F515" s="9">
        <v>10013053800</v>
      </c>
      <c r="G515" s="8" t="s">
        <v>50</v>
      </c>
      <c r="H515" s="12" t="s">
        <v>46</v>
      </c>
      <c r="I515" s="10">
        <v>3.4838461538461538</v>
      </c>
      <c r="J515" s="8" t="s">
        <v>202</v>
      </c>
      <c r="K515" s="8" t="s">
        <v>1518</v>
      </c>
      <c r="L515" s="8"/>
      <c r="M515" s="8"/>
      <c r="N515" s="13" t="str">
        <f>HYPERLINK("http://slimages.macys.com/is/image/MCY/19140780 ")</f>
        <v xml:space="preserve">http://slimages.macys.com/is/image/MCY/19140780 </v>
      </c>
    </row>
    <row r="516" spans="1:14" ht="48" x14ac:dyDescent="0.25">
      <c r="A516" s="12" t="s">
        <v>1519</v>
      </c>
      <c r="B516" s="8" t="s">
        <v>1520</v>
      </c>
      <c r="C516" s="9">
        <v>4</v>
      </c>
      <c r="D516" s="10">
        <v>6.47</v>
      </c>
      <c r="E516" s="10">
        <v>19.989999999999998</v>
      </c>
      <c r="F516" s="9">
        <v>10013053800</v>
      </c>
      <c r="G516" s="8" t="s">
        <v>50</v>
      </c>
      <c r="H516" s="12" t="s">
        <v>46</v>
      </c>
      <c r="I516" s="10">
        <v>3.4838461538461538</v>
      </c>
      <c r="J516" s="8" t="s">
        <v>202</v>
      </c>
      <c r="K516" s="8" t="s">
        <v>1518</v>
      </c>
      <c r="L516" s="8"/>
      <c r="M516" s="8"/>
      <c r="N516" s="13" t="str">
        <f>HYPERLINK("http://slimages.macys.com/is/image/MCY/19140780 ")</f>
        <v xml:space="preserve">http://slimages.macys.com/is/image/MCY/19140780 </v>
      </c>
    </row>
    <row r="517" spans="1:14" ht="60" x14ac:dyDescent="0.25">
      <c r="A517" s="12" t="s">
        <v>1521</v>
      </c>
      <c r="B517" s="8" t="s">
        <v>1522</v>
      </c>
      <c r="C517" s="9">
        <v>1</v>
      </c>
      <c r="D517" s="10">
        <v>6.38</v>
      </c>
      <c r="E517" s="10">
        <v>12.99</v>
      </c>
      <c r="F517" s="9">
        <v>12406301</v>
      </c>
      <c r="G517" s="8" t="s">
        <v>45</v>
      </c>
      <c r="H517" s="12" t="s">
        <v>1283</v>
      </c>
      <c r="I517" s="10">
        <v>3.4353846153846153</v>
      </c>
      <c r="J517" s="8" t="s">
        <v>313</v>
      </c>
      <c r="K517" s="8" t="s">
        <v>989</v>
      </c>
      <c r="L517" s="8" t="s">
        <v>31</v>
      </c>
      <c r="M517" s="8" t="s">
        <v>426</v>
      </c>
      <c r="N517" s="13" t="str">
        <f>HYPERLINK("http://slimages.macys.com/is/image/MCY/16522800 ")</f>
        <v xml:space="preserve">http://slimages.macys.com/is/image/MCY/16522800 </v>
      </c>
    </row>
    <row r="518" spans="1:14" ht="48" x14ac:dyDescent="0.25">
      <c r="A518" s="12" t="s">
        <v>1523</v>
      </c>
      <c r="B518" s="8" t="s">
        <v>1524</v>
      </c>
      <c r="C518" s="9">
        <v>1</v>
      </c>
      <c r="D518" s="10">
        <v>6.25</v>
      </c>
      <c r="E518" s="10">
        <v>13.99</v>
      </c>
      <c r="F518" s="9" t="s">
        <v>1525</v>
      </c>
      <c r="G518" s="8" t="s">
        <v>45</v>
      </c>
      <c r="H518" s="12" t="s">
        <v>46</v>
      </c>
      <c r="I518" s="10">
        <v>3.3653846153846154</v>
      </c>
      <c r="J518" s="8" t="s">
        <v>313</v>
      </c>
      <c r="K518" s="8" t="s">
        <v>648</v>
      </c>
      <c r="L518" s="8"/>
      <c r="M518" s="8"/>
      <c r="N518" s="13" t="str">
        <f>HYPERLINK("http://slimages.macys.com/is/image/MCY/18519117 ")</f>
        <v xml:space="preserve">http://slimages.macys.com/is/image/MCY/18519117 </v>
      </c>
    </row>
    <row r="519" spans="1:14" ht="48" x14ac:dyDescent="0.25">
      <c r="A519" s="12" t="s">
        <v>1523</v>
      </c>
      <c r="B519" s="8" t="s">
        <v>1524</v>
      </c>
      <c r="C519" s="9">
        <v>1</v>
      </c>
      <c r="D519" s="10">
        <v>6.25</v>
      </c>
      <c r="E519" s="10">
        <v>13.99</v>
      </c>
      <c r="F519" s="9" t="s">
        <v>1525</v>
      </c>
      <c r="G519" s="8" t="s">
        <v>45</v>
      </c>
      <c r="H519" s="12" t="s">
        <v>46</v>
      </c>
      <c r="I519" s="10">
        <v>3.3653846153846154</v>
      </c>
      <c r="J519" s="8" t="s">
        <v>313</v>
      </c>
      <c r="K519" s="8" t="s">
        <v>648</v>
      </c>
      <c r="L519" s="8"/>
      <c r="M519" s="8"/>
      <c r="N519" s="13" t="str">
        <f>HYPERLINK("http://slimages.macys.com/is/image/MCY/18519117 ")</f>
        <v xml:space="preserve">http://slimages.macys.com/is/image/MCY/18519117 </v>
      </c>
    </row>
    <row r="520" spans="1:14" ht="48" x14ac:dyDescent="0.25">
      <c r="A520" s="12" t="s">
        <v>1526</v>
      </c>
      <c r="B520" s="8" t="s">
        <v>1527</v>
      </c>
      <c r="C520" s="9">
        <v>6</v>
      </c>
      <c r="D520" s="10">
        <v>6.25</v>
      </c>
      <c r="E520" s="10">
        <v>13.99</v>
      </c>
      <c r="F520" s="9" t="s">
        <v>1528</v>
      </c>
      <c r="G520" s="8" t="s">
        <v>773</v>
      </c>
      <c r="H520" s="12" t="s">
        <v>1341</v>
      </c>
      <c r="I520" s="10">
        <v>3.3653846153846154</v>
      </c>
      <c r="J520" s="8" t="s">
        <v>209</v>
      </c>
      <c r="K520" s="8" t="s">
        <v>1529</v>
      </c>
      <c r="L520" s="8" t="s">
        <v>31</v>
      </c>
      <c r="M520" s="8" t="s">
        <v>1490</v>
      </c>
      <c r="N520" s="13" t="str">
        <f>HYPERLINK("http://slimages.macys.com/is/image/MCY/15609710 ")</f>
        <v xml:space="preserve">http://slimages.macys.com/is/image/MCY/15609710 </v>
      </c>
    </row>
    <row r="521" spans="1:14" ht="48" x14ac:dyDescent="0.25">
      <c r="A521" s="12" t="s">
        <v>1530</v>
      </c>
      <c r="B521" s="8" t="s">
        <v>1531</v>
      </c>
      <c r="C521" s="9">
        <v>1</v>
      </c>
      <c r="D521" s="10">
        <v>6.21</v>
      </c>
      <c r="E521" s="10">
        <v>14.99</v>
      </c>
      <c r="F521" s="9">
        <v>10014088800</v>
      </c>
      <c r="G521" s="8" t="s">
        <v>50</v>
      </c>
      <c r="H521" s="12" t="s">
        <v>46</v>
      </c>
      <c r="I521" s="10">
        <v>3.3438461538461541</v>
      </c>
      <c r="J521" s="8" t="s">
        <v>202</v>
      </c>
      <c r="K521" s="8" t="s">
        <v>379</v>
      </c>
      <c r="L521" s="8"/>
      <c r="M521" s="8"/>
      <c r="N521" s="13" t="str">
        <f>HYPERLINK("http://slimages.macys.com/is/image/MCY/20324137 ")</f>
        <v xml:space="preserve">http://slimages.macys.com/is/image/MCY/20324137 </v>
      </c>
    </row>
    <row r="522" spans="1:14" ht="48" x14ac:dyDescent="0.25">
      <c r="A522" s="12" t="s">
        <v>1532</v>
      </c>
      <c r="B522" s="8" t="s">
        <v>1533</v>
      </c>
      <c r="C522" s="9">
        <v>3</v>
      </c>
      <c r="D522" s="10">
        <v>6.16</v>
      </c>
      <c r="E522" s="10">
        <v>12.99</v>
      </c>
      <c r="F522" s="9">
        <v>17072</v>
      </c>
      <c r="G522" s="8" t="s">
        <v>1115</v>
      </c>
      <c r="H522" s="12"/>
      <c r="I522" s="10">
        <v>3.3169230769230769</v>
      </c>
      <c r="J522" s="8" t="s">
        <v>262</v>
      </c>
      <c r="K522" s="8" t="s">
        <v>1398</v>
      </c>
      <c r="L522" s="8"/>
      <c r="M522" s="8"/>
      <c r="N522" s="13" t="str">
        <f>HYPERLINK("http://slimages.macys.com/is/image/MCY/19662879 ")</f>
        <v xml:space="preserve">http://slimages.macys.com/is/image/MCY/19662879 </v>
      </c>
    </row>
    <row r="523" spans="1:14" ht="48" x14ac:dyDescent="0.25">
      <c r="A523" s="12" t="s">
        <v>1534</v>
      </c>
      <c r="B523" s="8" t="s">
        <v>1535</v>
      </c>
      <c r="C523" s="9">
        <v>1</v>
      </c>
      <c r="D523" s="10">
        <v>6.16</v>
      </c>
      <c r="E523" s="10">
        <v>12.99</v>
      </c>
      <c r="F523" s="9">
        <v>17070</v>
      </c>
      <c r="G523" s="8" t="s">
        <v>475</v>
      </c>
      <c r="H523" s="12"/>
      <c r="I523" s="10">
        <v>3.3169230769230769</v>
      </c>
      <c r="J523" s="8" t="s">
        <v>262</v>
      </c>
      <c r="K523" s="8" t="s">
        <v>1398</v>
      </c>
      <c r="L523" s="8"/>
      <c r="M523" s="8"/>
      <c r="N523" s="13" t="str">
        <f>HYPERLINK("http://slimages.macys.com/is/image/MCY/19662854 ")</f>
        <v xml:space="preserve">http://slimages.macys.com/is/image/MCY/19662854 </v>
      </c>
    </row>
    <row r="524" spans="1:14" ht="48" x14ac:dyDescent="0.25">
      <c r="A524" s="12" t="s">
        <v>1536</v>
      </c>
      <c r="B524" s="8" t="s">
        <v>1537</v>
      </c>
      <c r="C524" s="9">
        <v>1</v>
      </c>
      <c r="D524" s="10">
        <v>6</v>
      </c>
      <c r="E524" s="10">
        <v>13.99</v>
      </c>
      <c r="F524" s="9" t="s">
        <v>1538</v>
      </c>
      <c r="G524" s="8" t="s">
        <v>67</v>
      </c>
      <c r="H524" s="12" t="s">
        <v>46</v>
      </c>
      <c r="I524" s="10">
        <v>3.2307692307692308</v>
      </c>
      <c r="J524" s="8" t="s">
        <v>313</v>
      </c>
      <c r="K524" s="8" t="s">
        <v>648</v>
      </c>
      <c r="L524" s="8" t="s">
        <v>31</v>
      </c>
      <c r="M524" s="8" t="s">
        <v>1539</v>
      </c>
      <c r="N524" s="13" t="str">
        <f>HYPERLINK("http://slimages.macys.com/is/image/MCY/16444978 ")</f>
        <v xml:space="preserve">http://slimages.macys.com/is/image/MCY/16444978 </v>
      </c>
    </row>
    <row r="525" spans="1:14" ht="48" x14ac:dyDescent="0.25">
      <c r="A525" s="12" t="s">
        <v>1540</v>
      </c>
      <c r="B525" s="8" t="s">
        <v>1541</v>
      </c>
      <c r="C525" s="9">
        <v>2</v>
      </c>
      <c r="D525" s="10">
        <v>6</v>
      </c>
      <c r="E525" s="10">
        <v>14.99</v>
      </c>
      <c r="F525" s="9">
        <v>44868</v>
      </c>
      <c r="G525" s="8" t="s">
        <v>50</v>
      </c>
      <c r="H525" s="12" t="s">
        <v>46</v>
      </c>
      <c r="I525" s="10">
        <v>3.2307692307692308</v>
      </c>
      <c r="J525" s="8" t="s">
        <v>29</v>
      </c>
      <c r="K525" s="8" t="s">
        <v>919</v>
      </c>
      <c r="L525" s="8"/>
      <c r="M525" s="8"/>
      <c r="N525" s="13" t="str">
        <f>HYPERLINK("http://slimages.macys.com/is/image/MCY/19659556 ")</f>
        <v xml:space="preserve">http://slimages.macys.com/is/image/MCY/19659556 </v>
      </c>
    </row>
    <row r="526" spans="1:14" ht="48" x14ac:dyDescent="0.25">
      <c r="A526" s="12" t="s">
        <v>1542</v>
      </c>
      <c r="B526" s="8" t="s">
        <v>1543</v>
      </c>
      <c r="C526" s="9">
        <v>1</v>
      </c>
      <c r="D526" s="10">
        <v>6</v>
      </c>
      <c r="E526" s="10">
        <v>11.99</v>
      </c>
      <c r="F526" s="9" t="s">
        <v>1544</v>
      </c>
      <c r="G526" s="8" t="s">
        <v>35</v>
      </c>
      <c r="H526" s="12" t="s">
        <v>1251</v>
      </c>
      <c r="I526" s="10">
        <v>3.2307692307692308</v>
      </c>
      <c r="J526" s="8" t="s">
        <v>254</v>
      </c>
      <c r="K526" s="8" t="s">
        <v>86</v>
      </c>
      <c r="L526" s="8" t="s">
        <v>31</v>
      </c>
      <c r="M526" s="8" t="s">
        <v>69</v>
      </c>
      <c r="N526" s="13" t="str">
        <f>HYPERLINK("http://slimages.macys.com/is/image/MCY/8512847 ")</f>
        <v xml:space="preserve">http://slimages.macys.com/is/image/MCY/8512847 </v>
      </c>
    </row>
    <row r="527" spans="1:14" ht="48" x14ac:dyDescent="0.25">
      <c r="A527" s="12" t="s">
        <v>1545</v>
      </c>
      <c r="B527" s="8" t="s">
        <v>1546</v>
      </c>
      <c r="C527" s="9">
        <v>1</v>
      </c>
      <c r="D527" s="10">
        <v>6</v>
      </c>
      <c r="E527" s="10">
        <v>11.99</v>
      </c>
      <c r="F527" s="9" t="s">
        <v>1547</v>
      </c>
      <c r="G527" s="8" t="s">
        <v>50</v>
      </c>
      <c r="H527" s="12" t="s">
        <v>1234</v>
      </c>
      <c r="I527" s="10">
        <v>3.2307692307692308</v>
      </c>
      <c r="J527" s="8" t="s">
        <v>37</v>
      </c>
      <c r="K527" s="8" t="s">
        <v>86</v>
      </c>
      <c r="L527" s="8"/>
      <c r="M527" s="8" t="s">
        <v>39</v>
      </c>
      <c r="N527" s="13" t="str">
        <f>HYPERLINK("http://slimages.macys.com/is/image/MCY/751027 ")</f>
        <v xml:space="preserve">http://slimages.macys.com/is/image/MCY/751027 </v>
      </c>
    </row>
    <row r="528" spans="1:14" ht="48" x14ac:dyDescent="0.25">
      <c r="A528" s="12" t="s">
        <v>1548</v>
      </c>
      <c r="B528" s="8" t="s">
        <v>1549</v>
      </c>
      <c r="C528" s="9">
        <v>1</v>
      </c>
      <c r="D528" s="10">
        <v>6</v>
      </c>
      <c r="E528" s="10">
        <v>11.99</v>
      </c>
      <c r="F528" s="9" t="s">
        <v>1550</v>
      </c>
      <c r="G528" s="8" t="s">
        <v>35</v>
      </c>
      <c r="H528" s="12" t="s">
        <v>1251</v>
      </c>
      <c r="I528" s="10">
        <v>3.2307692307692308</v>
      </c>
      <c r="J528" s="8" t="s">
        <v>254</v>
      </c>
      <c r="K528" s="8" t="s">
        <v>86</v>
      </c>
      <c r="L528" s="8" t="s">
        <v>31</v>
      </c>
      <c r="M528" s="8" t="s">
        <v>69</v>
      </c>
      <c r="N528" s="13" t="str">
        <f>HYPERLINK("http://slimages.macys.com/is/image/MCY/9243716 ")</f>
        <v xml:space="preserve">http://slimages.macys.com/is/image/MCY/9243716 </v>
      </c>
    </row>
    <row r="529" spans="1:14" ht="48" x14ac:dyDescent="0.25">
      <c r="A529" s="12" t="s">
        <v>1551</v>
      </c>
      <c r="B529" s="8" t="s">
        <v>1552</v>
      </c>
      <c r="C529" s="9">
        <v>1</v>
      </c>
      <c r="D529" s="10">
        <v>6</v>
      </c>
      <c r="E529" s="10">
        <v>11.99</v>
      </c>
      <c r="F529" s="9" t="s">
        <v>1553</v>
      </c>
      <c r="G529" s="8" t="s">
        <v>50</v>
      </c>
      <c r="H529" s="12" t="s">
        <v>1234</v>
      </c>
      <c r="I529" s="10">
        <v>3.2307692307692308</v>
      </c>
      <c r="J529" s="8" t="s">
        <v>37</v>
      </c>
      <c r="K529" s="8" t="s">
        <v>86</v>
      </c>
      <c r="L529" s="8"/>
      <c r="M529" s="8" t="s">
        <v>39</v>
      </c>
      <c r="N529" s="13" t="str">
        <f>HYPERLINK("http://slimages.macys.com/is/image/MCY/847534 ")</f>
        <v xml:space="preserve">http://slimages.macys.com/is/image/MCY/847534 </v>
      </c>
    </row>
    <row r="530" spans="1:14" ht="48" x14ac:dyDescent="0.25">
      <c r="A530" s="12" t="s">
        <v>1554</v>
      </c>
      <c r="B530" s="8" t="s">
        <v>1555</v>
      </c>
      <c r="C530" s="9">
        <v>1</v>
      </c>
      <c r="D530" s="10">
        <v>5.99</v>
      </c>
      <c r="E530" s="10">
        <v>14.99</v>
      </c>
      <c r="F530" s="9" t="s">
        <v>1556</v>
      </c>
      <c r="G530" s="8" t="s">
        <v>962</v>
      </c>
      <c r="H530" s="12"/>
      <c r="I530" s="10">
        <v>3.2253846153846149</v>
      </c>
      <c r="J530" s="8" t="s">
        <v>209</v>
      </c>
      <c r="K530" s="8" t="s">
        <v>210</v>
      </c>
      <c r="L530" s="8" t="s">
        <v>79</v>
      </c>
      <c r="M530" s="8" t="s">
        <v>1557</v>
      </c>
      <c r="N530" s="13" t="str">
        <f>HYPERLINK("http://slimages.macys.com/is/image/MCY/9239949 ")</f>
        <v xml:space="preserve">http://slimages.macys.com/is/image/MCY/9239949 </v>
      </c>
    </row>
    <row r="531" spans="1:14" ht="48" x14ac:dyDescent="0.25">
      <c r="A531" s="12" t="s">
        <v>1558</v>
      </c>
      <c r="B531" s="8" t="s">
        <v>1559</v>
      </c>
      <c r="C531" s="9">
        <v>1</v>
      </c>
      <c r="D531" s="10">
        <v>5.8</v>
      </c>
      <c r="E531" s="10">
        <v>12.99</v>
      </c>
      <c r="F531" s="9">
        <v>11398201</v>
      </c>
      <c r="G531" s="8" t="s">
        <v>50</v>
      </c>
      <c r="H531" s="12" t="s">
        <v>46</v>
      </c>
      <c r="I531" s="10">
        <v>3.1230769230769226</v>
      </c>
      <c r="J531" s="8" t="s">
        <v>254</v>
      </c>
      <c r="K531" s="8" t="s">
        <v>730</v>
      </c>
      <c r="L531" s="8" t="s">
        <v>31</v>
      </c>
      <c r="M531" s="8" t="s">
        <v>271</v>
      </c>
      <c r="N531" s="13" t="str">
        <f>HYPERLINK("http://slimages.macys.com/is/image/MCY/10280472 ")</f>
        <v xml:space="preserve">http://slimages.macys.com/is/image/MCY/10280472 </v>
      </c>
    </row>
    <row r="532" spans="1:14" ht="60" x14ac:dyDescent="0.25">
      <c r="A532" s="12" t="s">
        <v>1560</v>
      </c>
      <c r="B532" s="8" t="s">
        <v>1561</v>
      </c>
      <c r="C532" s="9">
        <v>1</v>
      </c>
      <c r="D532" s="10">
        <v>5.75</v>
      </c>
      <c r="E532" s="10">
        <v>17.989999999999998</v>
      </c>
      <c r="F532" s="9">
        <v>10004011400</v>
      </c>
      <c r="G532" s="8" t="s">
        <v>50</v>
      </c>
      <c r="H532" s="12" t="s">
        <v>46</v>
      </c>
      <c r="I532" s="10">
        <v>3.0961538461538463</v>
      </c>
      <c r="J532" s="8" t="s">
        <v>202</v>
      </c>
      <c r="K532" s="8" t="s">
        <v>203</v>
      </c>
      <c r="L532" s="8"/>
      <c r="M532" s="8" t="s">
        <v>271</v>
      </c>
      <c r="N532" s="13" t="str">
        <f>HYPERLINK("http://slimages.macys.com/is/image/MCY/8604628 ")</f>
        <v xml:space="preserve">http://slimages.macys.com/is/image/MCY/8604628 </v>
      </c>
    </row>
    <row r="533" spans="1:14" ht="48" x14ac:dyDescent="0.25">
      <c r="A533" s="12" t="s">
        <v>1562</v>
      </c>
      <c r="B533" s="8" t="s">
        <v>1563</v>
      </c>
      <c r="C533" s="9">
        <v>2</v>
      </c>
      <c r="D533" s="10">
        <v>5.56</v>
      </c>
      <c r="E533" s="10">
        <v>13.99</v>
      </c>
      <c r="F533" s="9">
        <v>28706</v>
      </c>
      <c r="G533" s="8" t="s">
        <v>84</v>
      </c>
      <c r="H533" s="12"/>
      <c r="I533" s="10">
        <v>2.9938461538461536</v>
      </c>
      <c r="J533" s="8" t="s">
        <v>209</v>
      </c>
      <c r="K533" s="8" t="s">
        <v>1564</v>
      </c>
      <c r="L533" s="8"/>
      <c r="M533" s="8"/>
      <c r="N533" s="13" t="str">
        <f>HYPERLINK("http://slimages.macys.com/is/image/MCY/20525518 ")</f>
        <v xml:space="preserve">http://slimages.macys.com/is/image/MCY/20525518 </v>
      </c>
    </row>
    <row r="534" spans="1:14" ht="48" x14ac:dyDescent="0.25">
      <c r="A534" s="12" t="s">
        <v>1565</v>
      </c>
      <c r="B534" s="8" t="s">
        <v>1566</v>
      </c>
      <c r="C534" s="9">
        <v>1</v>
      </c>
      <c r="D534" s="10">
        <v>5.47</v>
      </c>
      <c r="E534" s="10">
        <v>12.99</v>
      </c>
      <c r="F534" s="9" t="s">
        <v>1567</v>
      </c>
      <c r="G534" s="8" t="s">
        <v>50</v>
      </c>
      <c r="H534" s="12" t="s">
        <v>46</v>
      </c>
      <c r="I534" s="10">
        <v>2.9453846153846155</v>
      </c>
      <c r="J534" s="8" t="s">
        <v>495</v>
      </c>
      <c r="K534" s="8" t="s">
        <v>1568</v>
      </c>
      <c r="L534" s="8" t="s">
        <v>31</v>
      </c>
      <c r="M534" s="8" t="s">
        <v>1569</v>
      </c>
      <c r="N534" s="13" t="str">
        <f>HYPERLINK("http://slimages.macys.com/is/image/MCY/9804016 ")</f>
        <v xml:space="preserve">http://slimages.macys.com/is/image/MCY/9804016 </v>
      </c>
    </row>
    <row r="535" spans="1:14" ht="60" x14ac:dyDescent="0.25">
      <c r="A535" s="12" t="s">
        <v>1570</v>
      </c>
      <c r="B535" s="8" t="s">
        <v>1571</v>
      </c>
      <c r="C535" s="9">
        <v>2</v>
      </c>
      <c r="D535" s="10">
        <v>5.45</v>
      </c>
      <c r="E535" s="10">
        <v>17.989999999999998</v>
      </c>
      <c r="F535" s="9">
        <v>10007374200</v>
      </c>
      <c r="G535" s="8" t="s">
        <v>50</v>
      </c>
      <c r="H535" s="12" t="s">
        <v>46</v>
      </c>
      <c r="I535" s="10">
        <v>2.9346153846153844</v>
      </c>
      <c r="J535" s="8" t="s">
        <v>202</v>
      </c>
      <c r="K535" s="8" t="s">
        <v>203</v>
      </c>
      <c r="L535" s="8" t="s">
        <v>31</v>
      </c>
      <c r="M535" s="8" t="s">
        <v>39</v>
      </c>
      <c r="N535" s="13" t="str">
        <f>HYPERLINK("http://slimages.macys.com/is/image/MCY/13859528 ")</f>
        <v xml:space="preserve">http://slimages.macys.com/is/image/MCY/13859528 </v>
      </c>
    </row>
    <row r="536" spans="1:14" ht="48" x14ac:dyDescent="0.25">
      <c r="A536" s="12" t="s">
        <v>1572</v>
      </c>
      <c r="B536" s="8" t="s">
        <v>1573</v>
      </c>
      <c r="C536" s="9">
        <v>1</v>
      </c>
      <c r="D536" s="10">
        <v>5.4</v>
      </c>
      <c r="E536" s="10">
        <v>14.99</v>
      </c>
      <c r="F536" s="9" t="s">
        <v>1574</v>
      </c>
      <c r="G536" s="8" t="s">
        <v>773</v>
      </c>
      <c r="H536" s="12" t="s">
        <v>46</v>
      </c>
      <c r="I536" s="10">
        <v>2.9076923076923076</v>
      </c>
      <c r="J536" s="8" t="s">
        <v>313</v>
      </c>
      <c r="K536" s="8" t="s">
        <v>648</v>
      </c>
      <c r="L536" s="8"/>
      <c r="M536" s="8"/>
      <c r="N536" s="13" t="str">
        <f>HYPERLINK("http://slimages.macys.com/is/image/MCY/16804006 ")</f>
        <v xml:space="preserve">http://slimages.macys.com/is/image/MCY/16804006 </v>
      </c>
    </row>
    <row r="537" spans="1:14" ht="48" x14ac:dyDescent="0.25">
      <c r="A537" s="12" t="s">
        <v>1575</v>
      </c>
      <c r="B537" s="8" t="s">
        <v>1576</v>
      </c>
      <c r="C537" s="9">
        <v>1</v>
      </c>
      <c r="D537" s="10">
        <v>5.4</v>
      </c>
      <c r="E537" s="10">
        <v>14.99</v>
      </c>
      <c r="F537" s="9" t="s">
        <v>1577</v>
      </c>
      <c r="G537" s="8" t="s">
        <v>35</v>
      </c>
      <c r="H537" s="12" t="s">
        <v>46</v>
      </c>
      <c r="I537" s="10">
        <v>2.9076923076923076</v>
      </c>
      <c r="J537" s="8" t="s">
        <v>313</v>
      </c>
      <c r="K537" s="8" t="s">
        <v>648</v>
      </c>
      <c r="L537" s="8"/>
      <c r="M537" s="8"/>
      <c r="N537" s="13" t="str">
        <f>HYPERLINK("http://slimages.macys.com/is/image/MCY/16804005 ")</f>
        <v xml:space="preserve">http://slimages.macys.com/is/image/MCY/16804005 </v>
      </c>
    </row>
    <row r="538" spans="1:14" ht="48" x14ac:dyDescent="0.25">
      <c r="A538" s="12" t="s">
        <v>1572</v>
      </c>
      <c r="B538" s="8" t="s">
        <v>1573</v>
      </c>
      <c r="C538" s="9">
        <v>4</v>
      </c>
      <c r="D538" s="10">
        <v>5.4</v>
      </c>
      <c r="E538" s="10">
        <v>14.99</v>
      </c>
      <c r="F538" s="9" t="s">
        <v>1574</v>
      </c>
      <c r="G538" s="8" t="s">
        <v>773</v>
      </c>
      <c r="H538" s="12" t="s">
        <v>46</v>
      </c>
      <c r="I538" s="10">
        <v>2.9076923076923076</v>
      </c>
      <c r="J538" s="8" t="s">
        <v>313</v>
      </c>
      <c r="K538" s="8" t="s">
        <v>648</v>
      </c>
      <c r="L538" s="8"/>
      <c r="M538" s="8"/>
      <c r="N538" s="13" t="str">
        <f>HYPERLINK("http://slimages.macys.com/is/image/MCY/16804006 ")</f>
        <v xml:space="preserve">http://slimages.macys.com/is/image/MCY/16804006 </v>
      </c>
    </row>
    <row r="539" spans="1:14" ht="48" x14ac:dyDescent="0.25">
      <c r="A539" s="12" t="s">
        <v>1578</v>
      </c>
      <c r="B539" s="8" t="s">
        <v>1579</v>
      </c>
      <c r="C539" s="9">
        <v>3</v>
      </c>
      <c r="D539" s="10">
        <v>5.35</v>
      </c>
      <c r="E539" s="10">
        <v>11.99</v>
      </c>
      <c r="F539" s="9" t="s">
        <v>1580</v>
      </c>
      <c r="G539" s="8" t="s">
        <v>1581</v>
      </c>
      <c r="H539" s="12" t="s">
        <v>46</v>
      </c>
      <c r="I539" s="10">
        <v>2.8807692307692307</v>
      </c>
      <c r="J539" s="8" t="s">
        <v>29</v>
      </c>
      <c r="K539" s="8" t="s">
        <v>1582</v>
      </c>
      <c r="L539" s="8" t="s">
        <v>31</v>
      </c>
      <c r="M539" s="8" t="s">
        <v>1583</v>
      </c>
      <c r="N539" s="13" t="str">
        <f>HYPERLINK("http://slimages.macys.com/is/image/MCY/16410741 ")</f>
        <v xml:space="preserve">http://slimages.macys.com/is/image/MCY/16410741 </v>
      </c>
    </row>
    <row r="540" spans="1:14" ht="48" x14ac:dyDescent="0.25">
      <c r="A540" s="12" t="s">
        <v>1584</v>
      </c>
      <c r="B540" s="8" t="s">
        <v>1585</v>
      </c>
      <c r="C540" s="9">
        <v>2</v>
      </c>
      <c r="D540" s="10">
        <v>5.35</v>
      </c>
      <c r="E540" s="10">
        <v>11.99</v>
      </c>
      <c r="F540" s="9" t="s">
        <v>1586</v>
      </c>
      <c r="G540" s="8" t="s">
        <v>35</v>
      </c>
      <c r="H540" s="12" t="s">
        <v>46</v>
      </c>
      <c r="I540" s="10">
        <v>2.8807692307692307</v>
      </c>
      <c r="J540" s="8" t="s">
        <v>29</v>
      </c>
      <c r="K540" s="8" t="s">
        <v>1582</v>
      </c>
      <c r="L540" s="8" t="s">
        <v>31</v>
      </c>
      <c r="M540" s="8" t="s">
        <v>1583</v>
      </c>
      <c r="N540" s="13" t="str">
        <f>HYPERLINK("http://slimages.macys.com/is/image/MCY/16410742 ")</f>
        <v xml:space="preserve">http://slimages.macys.com/is/image/MCY/16410742 </v>
      </c>
    </row>
    <row r="541" spans="1:14" ht="48" x14ac:dyDescent="0.25">
      <c r="A541" s="12" t="s">
        <v>1587</v>
      </c>
      <c r="B541" s="8" t="s">
        <v>1588</v>
      </c>
      <c r="C541" s="9">
        <v>8</v>
      </c>
      <c r="D541" s="10">
        <v>5.35</v>
      </c>
      <c r="E541" s="10">
        <v>11.99</v>
      </c>
      <c r="F541" s="9" t="s">
        <v>1589</v>
      </c>
      <c r="G541" s="8" t="s">
        <v>962</v>
      </c>
      <c r="H541" s="12" t="s">
        <v>46</v>
      </c>
      <c r="I541" s="10">
        <v>2.8807692307692307</v>
      </c>
      <c r="J541" s="8" t="s">
        <v>29</v>
      </c>
      <c r="K541" s="8" t="s">
        <v>1582</v>
      </c>
      <c r="L541" s="8" t="s">
        <v>31</v>
      </c>
      <c r="M541" s="8" t="s">
        <v>1583</v>
      </c>
      <c r="N541" s="13" t="str">
        <f>HYPERLINK("http://slimages.macys.com/is/image/MCY/16410739 ")</f>
        <v xml:space="preserve">http://slimages.macys.com/is/image/MCY/16410739 </v>
      </c>
    </row>
    <row r="542" spans="1:14" ht="48" x14ac:dyDescent="0.25">
      <c r="A542" s="12" t="s">
        <v>1590</v>
      </c>
      <c r="B542" s="8" t="s">
        <v>1591</v>
      </c>
      <c r="C542" s="9">
        <v>6</v>
      </c>
      <c r="D542" s="10">
        <v>5.35</v>
      </c>
      <c r="E542" s="10">
        <v>11.99</v>
      </c>
      <c r="F542" s="9" t="s">
        <v>1592</v>
      </c>
      <c r="G542" s="8" t="s">
        <v>67</v>
      </c>
      <c r="H542" s="12" t="s">
        <v>46</v>
      </c>
      <c r="I542" s="10">
        <v>2.8807692307692307</v>
      </c>
      <c r="J542" s="8" t="s">
        <v>29</v>
      </c>
      <c r="K542" s="8" t="s">
        <v>1582</v>
      </c>
      <c r="L542" s="8"/>
      <c r="M542" s="8"/>
      <c r="N542" s="13" t="str">
        <f>HYPERLINK("http://slimages.macys.com/is/image/MCY/18514041 ")</f>
        <v xml:space="preserve">http://slimages.macys.com/is/image/MCY/18514041 </v>
      </c>
    </row>
    <row r="543" spans="1:14" ht="48" x14ac:dyDescent="0.25">
      <c r="A543" s="12" t="s">
        <v>1593</v>
      </c>
      <c r="B543" s="8" t="s">
        <v>1594</v>
      </c>
      <c r="C543" s="9">
        <v>12</v>
      </c>
      <c r="D543" s="10">
        <v>5.35</v>
      </c>
      <c r="E543" s="10">
        <v>11.99</v>
      </c>
      <c r="F543" s="9" t="s">
        <v>1595</v>
      </c>
      <c r="G543" s="8" t="s">
        <v>962</v>
      </c>
      <c r="H543" s="12" t="s">
        <v>46</v>
      </c>
      <c r="I543" s="10">
        <v>2.8807692307692307</v>
      </c>
      <c r="J543" s="8" t="s">
        <v>29</v>
      </c>
      <c r="K543" s="8" t="s">
        <v>1582</v>
      </c>
      <c r="L543" s="8" t="s">
        <v>31</v>
      </c>
      <c r="M543" s="8" t="s">
        <v>1583</v>
      </c>
      <c r="N543" s="13" t="str">
        <f>HYPERLINK("http://slimages.macys.com/is/image/MCY/16410743 ")</f>
        <v xml:space="preserve">http://slimages.macys.com/is/image/MCY/16410743 </v>
      </c>
    </row>
    <row r="544" spans="1:14" ht="48" x14ac:dyDescent="0.25">
      <c r="A544" s="12" t="s">
        <v>1596</v>
      </c>
      <c r="B544" s="8" t="s">
        <v>1579</v>
      </c>
      <c r="C544" s="9">
        <v>4</v>
      </c>
      <c r="D544" s="10">
        <v>5.35</v>
      </c>
      <c r="E544" s="10">
        <v>11.99</v>
      </c>
      <c r="F544" s="9" t="s">
        <v>1597</v>
      </c>
      <c r="G544" s="8" t="s">
        <v>1581</v>
      </c>
      <c r="H544" s="12" t="s">
        <v>46</v>
      </c>
      <c r="I544" s="10">
        <v>2.8807692307692307</v>
      </c>
      <c r="J544" s="8" t="s">
        <v>29</v>
      </c>
      <c r="K544" s="8" t="s">
        <v>1582</v>
      </c>
      <c r="L544" s="8" t="s">
        <v>31</v>
      </c>
      <c r="M544" s="8" t="s">
        <v>1583</v>
      </c>
      <c r="N544" s="13" t="str">
        <f>HYPERLINK("http://slimages.macys.com/is/image/MCY/16410738 ")</f>
        <v xml:space="preserve">http://slimages.macys.com/is/image/MCY/16410738 </v>
      </c>
    </row>
    <row r="545" spans="1:14" ht="48" x14ac:dyDescent="0.25">
      <c r="A545" s="12" t="s">
        <v>1598</v>
      </c>
      <c r="B545" s="8" t="s">
        <v>1599</v>
      </c>
      <c r="C545" s="9">
        <v>2</v>
      </c>
      <c r="D545" s="10">
        <v>5.35</v>
      </c>
      <c r="E545" s="10">
        <v>11.99</v>
      </c>
      <c r="F545" s="9" t="s">
        <v>1600</v>
      </c>
      <c r="G545" s="8" t="s">
        <v>67</v>
      </c>
      <c r="H545" s="12" t="s">
        <v>46</v>
      </c>
      <c r="I545" s="10">
        <v>2.8807692307692307</v>
      </c>
      <c r="J545" s="8" t="s">
        <v>29</v>
      </c>
      <c r="K545" s="8" t="s">
        <v>1582</v>
      </c>
      <c r="L545" s="8"/>
      <c r="M545" s="8"/>
      <c r="N545" s="13" t="str">
        <f>HYPERLINK("http://slimages.macys.com/is/image/MCY/18514040 ")</f>
        <v xml:space="preserve">http://slimages.macys.com/is/image/MCY/18514040 </v>
      </c>
    </row>
    <row r="546" spans="1:14" ht="60" x14ac:dyDescent="0.25">
      <c r="A546" s="12" t="s">
        <v>1601</v>
      </c>
      <c r="B546" s="8" t="s">
        <v>1602</v>
      </c>
      <c r="C546" s="9">
        <v>1</v>
      </c>
      <c r="D546" s="10">
        <v>5.35</v>
      </c>
      <c r="E546" s="10">
        <v>11.99</v>
      </c>
      <c r="F546" s="9">
        <v>1475100</v>
      </c>
      <c r="G546" s="8" t="s">
        <v>35</v>
      </c>
      <c r="H546" s="12" t="s">
        <v>1251</v>
      </c>
      <c r="I546" s="10">
        <v>2.8807692307692307</v>
      </c>
      <c r="J546" s="8" t="s">
        <v>254</v>
      </c>
      <c r="K546" s="8" t="s">
        <v>1385</v>
      </c>
      <c r="L546" s="8" t="s">
        <v>79</v>
      </c>
      <c r="M546" s="8" t="s">
        <v>1603</v>
      </c>
      <c r="N546" s="13" t="str">
        <f>HYPERLINK("http://slimages.macys.com/is/image/MCY/3037688 ")</f>
        <v xml:space="preserve">http://slimages.macys.com/is/image/MCY/3037688 </v>
      </c>
    </row>
    <row r="547" spans="1:14" ht="48" x14ac:dyDescent="0.25">
      <c r="A547" s="12" t="s">
        <v>1584</v>
      </c>
      <c r="B547" s="8" t="s">
        <v>1585</v>
      </c>
      <c r="C547" s="9">
        <v>3</v>
      </c>
      <c r="D547" s="10">
        <v>5.35</v>
      </c>
      <c r="E547" s="10">
        <v>11.99</v>
      </c>
      <c r="F547" s="9" t="s">
        <v>1586</v>
      </c>
      <c r="G547" s="8" t="s">
        <v>35</v>
      </c>
      <c r="H547" s="12" t="s">
        <v>46</v>
      </c>
      <c r="I547" s="10">
        <v>2.8807692307692307</v>
      </c>
      <c r="J547" s="8" t="s">
        <v>29</v>
      </c>
      <c r="K547" s="8" t="s">
        <v>1582</v>
      </c>
      <c r="L547" s="8" t="s">
        <v>31</v>
      </c>
      <c r="M547" s="8" t="s">
        <v>1583</v>
      </c>
      <c r="N547" s="13" t="str">
        <f>HYPERLINK("http://slimages.macys.com/is/image/MCY/16410742 ")</f>
        <v xml:space="preserve">http://slimages.macys.com/is/image/MCY/16410742 </v>
      </c>
    </row>
    <row r="548" spans="1:14" ht="48" x14ac:dyDescent="0.25">
      <c r="A548" s="12" t="s">
        <v>1578</v>
      </c>
      <c r="B548" s="8" t="s">
        <v>1579</v>
      </c>
      <c r="C548" s="9">
        <v>6</v>
      </c>
      <c r="D548" s="10">
        <v>5.35</v>
      </c>
      <c r="E548" s="10">
        <v>11.99</v>
      </c>
      <c r="F548" s="9" t="s">
        <v>1580</v>
      </c>
      <c r="G548" s="8" t="s">
        <v>1581</v>
      </c>
      <c r="H548" s="12" t="s">
        <v>46</v>
      </c>
      <c r="I548" s="10">
        <v>2.8807692307692307</v>
      </c>
      <c r="J548" s="8" t="s">
        <v>29</v>
      </c>
      <c r="K548" s="8" t="s">
        <v>1582</v>
      </c>
      <c r="L548" s="8" t="s">
        <v>31</v>
      </c>
      <c r="M548" s="8" t="s">
        <v>1583</v>
      </c>
      <c r="N548" s="13" t="str">
        <f>HYPERLINK("http://slimages.macys.com/is/image/MCY/16410741 ")</f>
        <v xml:space="preserve">http://slimages.macys.com/is/image/MCY/16410741 </v>
      </c>
    </row>
    <row r="549" spans="1:14" ht="48" x14ac:dyDescent="0.25">
      <c r="A549" s="12" t="s">
        <v>1590</v>
      </c>
      <c r="B549" s="8" t="s">
        <v>1591</v>
      </c>
      <c r="C549" s="9">
        <v>1</v>
      </c>
      <c r="D549" s="10">
        <v>5.35</v>
      </c>
      <c r="E549" s="10">
        <v>11.99</v>
      </c>
      <c r="F549" s="9" t="s">
        <v>1592</v>
      </c>
      <c r="G549" s="8" t="s">
        <v>67</v>
      </c>
      <c r="H549" s="12" t="s">
        <v>46</v>
      </c>
      <c r="I549" s="10">
        <v>2.8807692307692307</v>
      </c>
      <c r="J549" s="8" t="s">
        <v>29</v>
      </c>
      <c r="K549" s="8" t="s">
        <v>1582</v>
      </c>
      <c r="L549" s="8"/>
      <c r="M549" s="8"/>
      <c r="N549" s="13" t="str">
        <f>HYPERLINK("http://slimages.macys.com/is/image/MCY/18514041 ")</f>
        <v xml:space="preserve">http://slimages.macys.com/is/image/MCY/18514041 </v>
      </c>
    </row>
    <row r="550" spans="1:14" ht="48" x14ac:dyDescent="0.25">
      <c r="A550" s="12" t="s">
        <v>1587</v>
      </c>
      <c r="B550" s="8" t="s">
        <v>1588</v>
      </c>
      <c r="C550" s="9">
        <v>14</v>
      </c>
      <c r="D550" s="10">
        <v>5.35</v>
      </c>
      <c r="E550" s="10">
        <v>11.99</v>
      </c>
      <c r="F550" s="9" t="s">
        <v>1589</v>
      </c>
      <c r="G550" s="8" t="s">
        <v>962</v>
      </c>
      <c r="H550" s="12" t="s">
        <v>46</v>
      </c>
      <c r="I550" s="10">
        <v>2.8807692307692307</v>
      </c>
      <c r="J550" s="8" t="s">
        <v>29</v>
      </c>
      <c r="K550" s="8" t="s">
        <v>1582</v>
      </c>
      <c r="L550" s="8" t="s">
        <v>31</v>
      </c>
      <c r="M550" s="8" t="s">
        <v>1583</v>
      </c>
      <c r="N550" s="13" t="str">
        <f>HYPERLINK("http://slimages.macys.com/is/image/MCY/16410739 ")</f>
        <v xml:space="preserve">http://slimages.macys.com/is/image/MCY/16410739 </v>
      </c>
    </row>
    <row r="551" spans="1:14" ht="48" x14ac:dyDescent="0.25">
      <c r="A551" s="12" t="s">
        <v>1596</v>
      </c>
      <c r="B551" s="8" t="s">
        <v>1579</v>
      </c>
      <c r="C551" s="9">
        <v>4</v>
      </c>
      <c r="D551" s="10">
        <v>5.35</v>
      </c>
      <c r="E551" s="10">
        <v>11.99</v>
      </c>
      <c r="F551" s="9" t="s">
        <v>1597</v>
      </c>
      <c r="G551" s="8" t="s">
        <v>1581</v>
      </c>
      <c r="H551" s="12" t="s">
        <v>46</v>
      </c>
      <c r="I551" s="10">
        <v>2.8807692307692307</v>
      </c>
      <c r="J551" s="8" t="s">
        <v>29</v>
      </c>
      <c r="K551" s="8" t="s">
        <v>1582</v>
      </c>
      <c r="L551" s="8" t="s">
        <v>31</v>
      </c>
      <c r="M551" s="8" t="s">
        <v>1583</v>
      </c>
      <c r="N551" s="13" t="str">
        <f>HYPERLINK("http://slimages.macys.com/is/image/MCY/16410738 ")</f>
        <v xml:space="preserve">http://slimages.macys.com/is/image/MCY/16410738 </v>
      </c>
    </row>
    <row r="552" spans="1:14" ht="48" x14ac:dyDescent="0.25">
      <c r="A552" s="12" t="s">
        <v>1593</v>
      </c>
      <c r="B552" s="8" t="s">
        <v>1594</v>
      </c>
      <c r="C552" s="9">
        <v>10</v>
      </c>
      <c r="D552" s="10">
        <v>5.35</v>
      </c>
      <c r="E552" s="10">
        <v>11.99</v>
      </c>
      <c r="F552" s="9" t="s">
        <v>1595</v>
      </c>
      <c r="G552" s="8" t="s">
        <v>962</v>
      </c>
      <c r="H552" s="12" t="s">
        <v>46</v>
      </c>
      <c r="I552" s="10">
        <v>2.8807692307692307</v>
      </c>
      <c r="J552" s="8" t="s">
        <v>29</v>
      </c>
      <c r="K552" s="8" t="s">
        <v>1582</v>
      </c>
      <c r="L552" s="8" t="s">
        <v>31</v>
      </c>
      <c r="M552" s="8" t="s">
        <v>1583</v>
      </c>
      <c r="N552" s="13" t="str">
        <f>HYPERLINK("http://slimages.macys.com/is/image/MCY/16410743 ")</f>
        <v xml:space="preserve">http://slimages.macys.com/is/image/MCY/16410743 </v>
      </c>
    </row>
    <row r="553" spans="1:14" ht="48" x14ac:dyDescent="0.25">
      <c r="A553" s="12" t="s">
        <v>1604</v>
      </c>
      <c r="B553" s="8" t="s">
        <v>1605</v>
      </c>
      <c r="C553" s="9">
        <v>1</v>
      </c>
      <c r="D553" s="10">
        <v>5.25</v>
      </c>
      <c r="E553" s="10">
        <v>12.99</v>
      </c>
      <c r="F553" s="9" t="s">
        <v>1606</v>
      </c>
      <c r="G553" s="8" t="s">
        <v>84</v>
      </c>
      <c r="H553" s="12" t="s">
        <v>46</v>
      </c>
      <c r="I553" s="10">
        <v>2.8269230769230766</v>
      </c>
      <c r="J553" s="8" t="s">
        <v>313</v>
      </c>
      <c r="K553" s="8" t="s">
        <v>648</v>
      </c>
      <c r="L553" s="8"/>
      <c r="M553" s="8"/>
      <c r="N553" s="13" t="str">
        <f>HYPERLINK("http://slimages.macys.com/is/image/MCY/19411771 ")</f>
        <v xml:space="preserve">http://slimages.macys.com/is/image/MCY/19411771 </v>
      </c>
    </row>
    <row r="554" spans="1:14" ht="48" x14ac:dyDescent="0.25">
      <c r="A554" s="12" t="s">
        <v>1604</v>
      </c>
      <c r="B554" s="8" t="s">
        <v>1605</v>
      </c>
      <c r="C554" s="9">
        <v>4</v>
      </c>
      <c r="D554" s="10">
        <v>5.25</v>
      </c>
      <c r="E554" s="10">
        <v>12.99</v>
      </c>
      <c r="F554" s="9" t="s">
        <v>1606</v>
      </c>
      <c r="G554" s="8" t="s">
        <v>84</v>
      </c>
      <c r="H554" s="12" t="s">
        <v>46</v>
      </c>
      <c r="I554" s="10">
        <v>2.8269230769230766</v>
      </c>
      <c r="J554" s="8" t="s">
        <v>313</v>
      </c>
      <c r="K554" s="8" t="s">
        <v>648</v>
      </c>
      <c r="L554" s="8"/>
      <c r="M554" s="8"/>
      <c r="N554" s="13" t="str">
        <f>HYPERLINK("http://slimages.macys.com/is/image/MCY/19411771 ")</f>
        <v xml:space="preserve">http://slimages.macys.com/is/image/MCY/19411771 </v>
      </c>
    </row>
    <row r="555" spans="1:14" ht="48" x14ac:dyDescent="0.25">
      <c r="A555" s="12" t="s">
        <v>1604</v>
      </c>
      <c r="B555" s="8" t="s">
        <v>1605</v>
      </c>
      <c r="C555" s="9">
        <v>1</v>
      </c>
      <c r="D555" s="10">
        <v>5.25</v>
      </c>
      <c r="E555" s="10">
        <v>12.99</v>
      </c>
      <c r="F555" s="9" t="s">
        <v>1606</v>
      </c>
      <c r="G555" s="8" t="s">
        <v>84</v>
      </c>
      <c r="H555" s="12" t="s">
        <v>46</v>
      </c>
      <c r="I555" s="10">
        <v>2.8269230769230766</v>
      </c>
      <c r="J555" s="8" t="s">
        <v>313</v>
      </c>
      <c r="K555" s="8" t="s">
        <v>648</v>
      </c>
      <c r="L555" s="8"/>
      <c r="M555" s="8"/>
      <c r="N555" s="13" t="str">
        <f>HYPERLINK("http://slimages.macys.com/is/image/MCY/19411771 ")</f>
        <v xml:space="preserve">http://slimages.macys.com/is/image/MCY/19411771 </v>
      </c>
    </row>
    <row r="556" spans="1:14" ht="48" x14ac:dyDescent="0.25">
      <c r="A556" s="12" t="s">
        <v>1604</v>
      </c>
      <c r="B556" s="8" t="s">
        <v>1605</v>
      </c>
      <c r="C556" s="9">
        <v>1</v>
      </c>
      <c r="D556" s="10">
        <v>5.25</v>
      </c>
      <c r="E556" s="10">
        <v>12.99</v>
      </c>
      <c r="F556" s="9" t="s">
        <v>1606</v>
      </c>
      <c r="G556" s="8" t="s">
        <v>84</v>
      </c>
      <c r="H556" s="12" t="s">
        <v>46</v>
      </c>
      <c r="I556" s="10">
        <v>2.8269230769230766</v>
      </c>
      <c r="J556" s="8" t="s">
        <v>313</v>
      </c>
      <c r="K556" s="8" t="s">
        <v>648</v>
      </c>
      <c r="L556" s="8"/>
      <c r="M556" s="8"/>
      <c r="N556" s="13" t="str">
        <f>HYPERLINK("http://slimages.macys.com/is/image/MCY/19411771 ")</f>
        <v xml:space="preserve">http://slimages.macys.com/is/image/MCY/19411771 </v>
      </c>
    </row>
    <row r="557" spans="1:14" ht="48" x14ac:dyDescent="0.25">
      <c r="A557" s="12" t="s">
        <v>1607</v>
      </c>
      <c r="B557" s="8" t="s">
        <v>1608</v>
      </c>
      <c r="C557" s="9">
        <v>4</v>
      </c>
      <c r="D557" s="10">
        <v>5.07</v>
      </c>
      <c r="E557" s="10">
        <v>8.99</v>
      </c>
      <c r="F557" s="9" t="s">
        <v>1609</v>
      </c>
      <c r="G557" s="8" t="s">
        <v>454</v>
      </c>
      <c r="H557" s="12"/>
      <c r="I557" s="10">
        <v>2.73</v>
      </c>
      <c r="J557" s="8" t="s">
        <v>29</v>
      </c>
      <c r="K557" s="8" t="s">
        <v>1610</v>
      </c>
      <c r="L557" s="8" t="s">
        <v>79</v>
      </c>
      <c r="M557" s="8" t="s">
        <v>1097</v>
      </c>
      <c r="N557" s="13" t="str">
        <f>HYPERLINK("http://slimages.macys.com/is/image/MCY/12783233 ")</f>
        <v xml:space="preserve">http://slimages.macys.com/is/image/MCY/12783233 </v>
      </c>
    </row>
    <row r="558" spans="1:14" ht="48" x14ac:dyDescent="0.25">
      <c r="A558" s="12" t="s">
        <v>1611</v>
      </c>
      <c r="B558" s="8" t="s">
        <v>1612</v>
      </c>
      <c r="C558" s="9">
        <v>1</v>
      </c>
      <c r="D558" s="10">
        <v>5</v>
      </c>
      <c r="E558" s="10">
        <v>9.99</v>
      </c>
      <c r="F558" s="9">
        <v>64629</v>
      </c>
      <c r="G558" s="8" t="s">
        <v>50</v>
      </c>
      <c r="H558" s="12" t="s">
        <v>46</v>
      </c>
      <c r="I558" s="10">
        <v>2.6923076923076921</v>
      </c>
      <c r="J558" s="8" t="s">
        <v>313</v>
      </c>
      <c r="K558" s="8" t="s">
        <v>695</v>
      </c>
      <c r="L558" s="8" t="s">
        <v>31</v>
      </c>
      <c r="M558" s="8" t="s">
        <v>54</v>
      </c>
      <c r="N558" s="13" t="str">
        <f>HYPERLINK("http://slimages.macys.com/is/image/MCY/16381566 ")</f>
        <v xml:space="preserve">http://slimages.macys.com/is/image/MCY/16381566 </v>
      </c>
    </row>
    <row r="559" spans="1:14" ht="48" x14ac:dyDescent="0.25">
      <c r="A559" s="12" t="s">
        <v>1613</v>
      </c>
      <c r="B559" s="8" t="s">
        <v>1614</v>
      </c>
      <c r="C559" s="9">
        <v>1</v>
      </c>
      <c r="D559" s="10">
        <v>5</v>
      </c>
      <c r="E559" s="10">
        <v>17</v>
      </c>
      <c r="F559" s="9">
        <v>21127</v>
      </c>
      <c r="G559" s="8" t="s">
        <v>137</v>
      </c>
      <c r="H559" s="12" t="s">
        <v>46</v>
      </c>
      <c r="I559" s="10">
        <v>2.6923076923076921</v>
      </c>
      <c r="J559" s="8" t="s">
        <v>313</v>
      </c>
      <c r="K559" s="8" t="s">
        <v>1074</v>
      </c>
      <c r="L559" s="8" t="s">
        <v>31</v>
      </c>
      <c r="M559" s="8" t="s">
        <v>1476</v>
      </c>
      <c r="N559" s="13" t="str">
        <f>HYPERLINK("http://slimages.macys.com/is/image/MCY/13119577 ")</f>
        <v xml:space="preserve">http://slimages.macys.com/is/image/MCY/13119577 </v>
      </c>
    </row>
    <row r="560" spans="1:14" ht="48" x14ac:dyDescent="0.25">
      <c r="A560" s="12" t="s">
        <v>1615</v>
      </c>
      <c r="B560" s="8" t="s">
        <v>1616</v>
      </c>
      <c r="C560" s="9">
        <v>1</v>
      </c>
      <c r="D560" s="10">
        <v>5</v>
      </c>
      <c r="E560" s="10">
        <v>10</v>
      </c>
      <c r="F560" s="9">
        <v>315492</v>
      </c>
      <c r="G560" s="8" t="s">
        <v>67</v>
      </c>
      <c r="H560" s="12" t="s">
        <v>115</v>
      </c>
      <c r="I560" s="10">
        <v>2.6923076923076921</v>
      </c>
      <c r="J560" s="8" t="s">
        <v>495</v>
      </c>
      <c r="K560" s="8" t="s">
        <v>1617</v>
      </c>
      <c r="L560" s="8" t="s">
        <v>31</v>
      </c>
      <c r="M560" s="8" t="s">
        <v>1618</v>
      </c>
      <c r="N560" s="13" t="str">
        <f>HYPERLINK("http://slimages.macys.com/is/image/MCY/2543287 ")</f>
        <v xml:space="preserve">http://slimages.macys.com/is/image/MCY/2543287 </v>
      </c>
    </row>
    <row r="561" spans="1:14" ht="48" x14ac:dyDescent="0.25">
      <c r="A561" s="12" t="s">
        <v>1619</v>
      </c>
      <c r="B561" s="8" t="s">
        <v>1620</v>
      </c>
      <c r="C561" s="9">
        <v>1</v>
      </c>
      <c r="D561" s="10">
        <v>5</v>
      </c>
      <c r="E561" s="10">
        <v>9.99</v>
      </c>
      <c r="F561" s="9">
        <v>11635</v>
      </c>
      <c r="G561" s="8" t="s">
        <v>50</v>
      </c>
      <c r="H561" s="12" t="s">
        <v>46</v>
      </c>
      <c r="I561" s="10">
        <v>2.6923076923076921</v>
      </c>
      <c r="J561" s="8" t="s">
        <v>313</v>
      </c>
      <c r="K561" s="8" t="s">
        <v>695</v>
      </c>
      <c r="L561" s="8" t="s">
        <v>31</v>
      </c>
      <c r="M561" s="8" t="s">
        <v>426</v>
      </c>
      <c r="N561" s="13" t="str">
        <f>HYPERLINK("http://slimages.macys.com/is/image/MCY/12655730 ")</f>
        <v xml:space="preserve">http://slimages.macys.com/is/image/MCY/12655730 </v>
      </c>
    </row>
    <row r="562" spans="1:14" ht="48" x14ac:dyDescent="0.25">
      <c r="A562" s="12" t="s">
        <v>1621</v>
      </c>
      <c r="B562" s="8" t="s">
        <v>1622</v>
      </c>
      <c r="C562" s="9">
        <v>1</v>
      </c>
      <c r="D562" s="10">
        <v>5</v>
      </c>
      <c r="E562" s="10">
        <v>10</v>
      </c>
      <c r="F562" s="9">
        <v>2019418908</v>
      </c>
      <c r="G562" s="8" t="s">
        <v>35</v>
      </c>
      <c r="H562" s="12"/>
      <c r="I562" s="10">
        <v>2.6923076923076921</v>
      </c>
      <c r="J562" s="8" t="s">
        <v>495</v>
      </c>
      <c r="K562" s="8" t="s">
        <v>1623</v>
      </c>
      <c r="L562" s="8" t="s">
        <v>31</v>
      </c>
      <c r="M562" s="8" t="s">
        <v>1127</v>
      </c>
      <c r="N562" s="13" t="str">
        <f>HYPERLINK("http://slimages.macys.com/is/image/MCY/9545233 ")</f>
        <v xml:space="preserve">http://slimages.macys.com/is/image/MCY/9545233 </v>
      </c>
    </row>
    <row r="563" spans="1:14" ht="48" x14ac:dyDescent="0.25">
      <c r="A563" s="12" t="s">
        <v>1611</v>
      </c>
      <c r="B563" s="8" t="s">
        <v>1612</v>
      </c>
      <c r="C563" s="9">
        <v>2</v>
      </c>
      <c r="D563" s="10">
        <v>5</v>
      </c>
      <c r="E563" s="10">
        <v>9.99</v>
      </c>
      <c r="F563" s="9">
        <v>64629</v>
      </c>
      <c r="G563" s="8" t="s">
        <v>50</v>
      </c>
      <c r="H563" s="12" t="s">
        <v>46</v>
      </c>
      <c r="I563" s="10">
        <v>2.6923076923076921</v>
      </c>
      <c r="J563" s="8" t="s">
        <v>313</v>
      </c>
      <c r="K563" s="8" t="s">
        <v>695</v>
      </c>
      <c r="L563" s="8" t="s">
        <v>31</v>
      </c>
      <c r="M563" s="8" t="s">
        <v>54</v>
      </c>
      <c r="N563" s="13" t="str">
        <f>HYPERLINK("http://slimages.macys.com/is/image/MCY/16381566 ")</f>
        <v xml:space="preserve">http://slimages.macys.com/is/image/MCY/16381566 </v>
      </c>
    </row>
    <row r="564" spans="1:14" ht="48" x14ac:dyDescent="0.25">
      <c r="A564" s="12" t="s">
        <v>1624</v>
      </c>
      <c r="B564" s="8" t="s">
        <v>1625</v>
      </c>
      <c r="C564" s="9">
        <v>1</v>
      </c>
      <c r="D564" s="10">
        <v>5</v>
      </c>
      <c r="E564" s="10">
        <v>11.99</v>
      </c>
      <c r="F564" s="9">
        <v>55109</v>
      </c>
      <c r="G564" s="8" t="s">
        <v>50</v>
      </c>
      <c r="H564" s="12" t="s">
        <v>46</v>
      </c>
      <c r="I564" s="10">
        <v>2.6923076923076921</v>
      </c>
      <c r="J564" s="8" t="s">
        <v>209</v>
      </c>
      <c r="K564" s="8" t="s">
        <v>1626</v>
      </c>
      <c r="L564" s="8" t="s">
        <v>31</v>
      </c>
      <c r="M564" s="8" t="s">
        <v>1627</v>
      </c>
      <c r="N564" s="13" t="str">
        <f>HYPERLINK("http://slimages.macys.com/is/image/MCY/10394911 ")</f>
        <v xml:space="preserve">http://slimages.macys.com/is/image/MCY/10394911 </v>
      </c>
    </row>
    <row r="565" spans="1:14" ht="60" x14ac:dyDescent="0.25">
      <c r="A565" s="12" t="s">
        <v>1628</v>
      </c>
      <c r="B565" s="8" t="s">
        <v>1629</v>
      </c>
      <c r="C565" s="9">
        <v>1</v>
      </c>
      <c r="D565" s="10">
        <v>4.95</v>
      </c>
      <c r="E565" s="10">
        <v>15.99</v>
      </c>
      <c r="F565" s="9">
        <v>10008743900</v>
      </c>
      <c r="G565" s="8" t="s">
        <v>50</v>
      </c>
      <c r="H565" s="12" t="s">
        <v>46</v>
      </c>
      <c r="I565" s="10">
        <v>2.6653846153846152</v>
      </c>
      <c r="J565" s="8" t="s">
        <v>202</v>
      </c>
      <c r="K565" s="8" t="s">
        <v>203</v>
      </c>
      <c r="L565" s="8" t="s">
        <v>31</v>
      </c>
      <c r="M565" s="8" t="s">
        <v>69</v>
      </c>
      <c r="N565" s="13" t="str">
        <f>HYPERLINK("http://slimages.macys.com/is/image/MCY/3137275 ")</f>
        <v xml:space="preserve">http://slimages.macys.com/is/image/MCY/3137275 </v>
      </c>
    </row>
    <row r="566" spans="1:14" ht="48" x14ac:dyDescent="0.25">
      <c r="A566" s="12" t="s">
        <v>1630</v>
      </c>
      <c r="B566" s="8" t="s">
        <v>1631</v>
      </c>
      <c r="C566" s="9">
        <v>1</v>
      </c>
      <c r="D566" s="10">
        <v>4.76</v>
      </c>
      <c r="E566" s="10">
        <v>9.99</v>
      </c>
      <c r="F566" s="9" t="s">
        <v>1632</v>
      </c>
      <c r="G566" s="8" t="s">
        <v>50</v>
      </c>
      <c r="H566" s="12" t="s">
        <v>46</v>
      </c>
      <c r="I566" s="10">
        <v>2.563076923076923</v>
      </c>
      <c r="J566" s="8" t="s">
        <v>262</v>
      </c>
      <c r="K566" s="8" t="s">
        <v>1398</v>
      </c>
      <c r="L566" s="8" t="s">
        <v>31</v>
      </c>
      <c r="M566" s="8" t="s">
        <v>80</v>
      </c>
      <c r="N566" s="13" t="str">
        <f>HYPERLINK("http://slimages.macys.com/is/image/MCY/10544505 ")</f>
        <v xml:space="preserve">http://slimages.macys.com/is/image/MCY/10544505 </v>
      </c>
    </row>
    <row r="567" spans="1:14" ht="60" x14ac:dyDescent="0.25">
      <c r="A567" s="12" t="s">
        <v>1633</v>
      </c>
      <c r="B567" s="8" t="s">
        <v>1629</v>
      </c>
      <c r="C567" s="9">
        <v>1</v>
      </c>
      <c r="D567" s="10">
        <v>4.7300000000000004</v>
      </c>
      <c r="E567" s="10">
        <v>13.99</v>
      </c>
      <c r="F567" s="9">
        <v>10008743000</v>
      </c>
      <c r="G567" s="8" t="s">
        <v>50</v>
      </c>
      <c r="H567" s="12" t="s">
        <v>46</v>
      </c>
      <c r="I567" s="10">
        <v>2.5469230769230768</v>
      </c>
      <c r="J567" s="8" t="s">
        <v>202</v>
      </c>
      <c r="K567" s="8" t="s">
        <v>203</v>
      </c>
      <c r="L567" s="8" t="s">
        <v>31</v>
      </c>
      <c r="M567" s="8" t="s">
        <v>69</v>
      </c>
      <c r="N567" s="13" t="str">
        <f>HYPERLINK("http://slimages.macys.com/is/image/MCY/3137270 ")</f>
        <v xml:space="preserve">http://slimages.macys.com/is/image/MCY/3137270 </v>
      </c>
    </row>
    <row r="568" spans="1:14" ht="48" x14ac:dyDescent="0.25">
      <c r="A568" s="12" t="s">
        <v>1634</v>
      </c>
      <c r="B568" s="8" t="s">
        <v>1635</v>
      </c>
      <c r="C568" s="9">
        <v>1</v>
      </c>
      <c r="D568" s="10">
        <v>4.6100000000000003</v>
      </c>
      <c r="E568" s="10">
        <v>9.99</v>
      </c>
      <c r="F568" s="9" t="s">
        <v>1636</v>
      </c>
      <c r="G568" s="8" t="s">
        <v>681</v>
      </c>
      <c r="H568" s="12" t="s">
        <v>46</v>
      </c>
      <c r="I568" s="10">
        <v>2.4823076923076921</v>
      </c>
      <c r="J568" s="8" t="s">
        <v>29</v>
      </c>
      <c r="K568" s="8" t="s">
        <v>1582</v>
      </c>
      <c r="L568" s="8"/>
      <c r="M568" s="8"/>
      <c r="N568" s="13" t="str">
        <f>HYPERLINK("http://slimages.macys.com/is/image/MCY/16930204 ")</f>
        <v xml:space="preserve">http://slimages.macys.com/is/image/MCY/16930204 </v>
      </c>
    </row>
    <row r="569" spans="1:14" ht="48" x14ac:dyDescent="0.25">
      <c r="A569" s="12" t="s">
        <v>1637</v>
      </c>
      <c r="B569" s="8" t="s">
        <v>1638</v>
      </c>
      <c r="C569" s="9">
        <v>1</v>
      </c>
      <c r="D569" s="10">
        <v>4.5</v>
      </c>
      <c r="E569" s="10">
        <v>11.99</v>
      </c>
      <c r="F569" s="9">
        <v>26447</v>
      </c>
      <c r="G569" s="8" t="s">
        <v>1115</v>
      </c>
      <c r="H569" s="12"/>
      <c r="I569" s="10">
        <v>2.4230769230769229</v>
      </c>
      <c r="J569" s="8" t="s">
        <v>209</v>
      </c>
      <c r="K569" s="8" t="s">
        <v>1564</v>
      </c>
      <c r="L569" s="8"/>
      <c r="M569" s="8"/>
      <c r="N569" s="13" t="str">
        <f>HYPERLINK("http://slimages.macys.com/is/image/MCY/17987255 ")</f>
        <v xml:space="preserve">http://slimages.macys.com/is/image/MCY/17987255 </v>
      </c>
    </row>
    <row r="570" spans="1:14" ht="48" x14ac:dyDescent="0.25">
      <c r="A570" s="12" t="s">
        <v>1639</v>
      </c>
      <c r="B570" s="8" t="s">
        <v>1640</v>
      </c>
      <c r="C570" s="9">
        <v>3</v>
      </c>
      <c r="D570" s="10">
        <v>4.5</v>
      </c>
      <c r="E570" s="10">
        <v>8.99</v>
      </c>
      <c r="F570" s="9" t="s">
        <v>1641</v>
      </c>
      <c r="G570" s="8" t="s">
        <v>1163</v>
      </c>
      <c r="H570" s="12"/>
      <c r="I570" s="10">
        <v>2.4230769230769229</v>
      </c>
      <c r="J570" s="8" t="s">
        <v>254</v>
      </c>
      <c r="K570" s="8" t="s">
        <v>68</v>
      </c>
      <c r="L570" s="8" t="s">
        <v>31</v>
      </c>
      <c r="M570" s="8" t="s">
        <v>69</v>
      </c>
      <c r="N570" s="13" t="str">
        <f>HYPERLINK("http://slimages.macys.com/is/image/MCY/11409189 ")</f>
        <v xml:space="preserve">http://slimages.macys.com/is/image/MCY/11409189 </v>
      </c>
    </row>
    <row r="571" spans="1:14" ht="60" x14ac:dyDescent="0.25">
      <c r="A571" s="12" t="s">
        <v>1642</v>
      </c>
      <c r="B571" s="8" t="s">
        <v>1643</v>
      </c>
      <c r="C571" s="9">
        <v>3</v>
      </c>
      <c r="D571" s="10">
        <v>4.41</v>
      </c>
      <c r="E571" s="10">
        <v>16.989999999999998</v>
      </c>
      <c r="F571" s="9">
        <v>10008736200</v>
      </c>
      <c r="G571" s="8" t="s">
        <v>50</v>
      </c>
      <c r="H571" s="12" t="s">
        <v>884</v>
      </c>
      <c r="I571" s="10">
        <v>2.3746153846153848</v>
      </c>
      <c r="J571" s="8" t="s">
        <v>202</v>
      </c>
      <c r="K571" s="8" t="s">
        <v>203</v>
      </c>
      <c r="L571" s="8" t="s">
        <v>31</v>
      </c>
      <c r="M571" s="8" t="s">
        <v>69</v>
      </c>
      <c r="N571" s="13" t="str">
        <f>HYPERLINK("http://slimages.macys.com/is/image/MCY/15784203 ")</f>
        <v xml:space="preserve">http://slimages.macys.com/is/image/MCY/15784203 </v>
      </c>
    </row>
    <row r="572" spans="1:14" ht="48" x14ac:dyDescent="0.25">
      <c r="A572" s="12" t="s">
        <v>1644</v>
      </c>
      <c r="B572" s="8" t="s">
        <v>1645</v>
      </c>
      <c r="C572" s="9">
        <v>1</v>
      </c>
      <c r="D572" s="10">
        <v>4.4000000000000004</v>
      </c>
      <c r="E572" s="10">
        <v>11.99</v>
      </c>
      <c r="F572" s="9" t="s">
        <v>1646</v>
      </c>
      <c r="G572" s="8" t="s">
        <v>773</v>
      </c>
      <c r="H572" s="12" t="s">
        <v>46</v>
      </c>
      <c r="I572" s="10">
        <v>2.3692307692307693</v>
      </c>
      <c r="J572" s="8" t="s">
        <v>313</v>
      </c>
      <c r="K572" s="8" t="s">
        <v>648</v>
      </c>
      <c r="L572" s="8"/>
      <c r="M572" s="8"/>
      <c r="N572" s="13" t="str">
        <f>HYPERLINK("http://slimages.macys.com/is/image/MCY/16804002 ")</f>
        <v xml:space="preserve">http://slimages.macys.com/is/image/MCY/16804002 </v>
      </c>
    </row>
    <row r="573" spans="1:14" ht="48" x14ac:dyDescent="0.25">
      <c r="A573" s="12" t="s">
        <v>1647</v>
      </c>
      <c r="B573" s="8" t="s">
        <v>1648</v>
      </c>
      <c r="C573" s="9">
        <v>1</v>
      </c>
      <c r="D573" s="10">
        <v>4.25</v>
      </c>
      <c r="E573" s="10">
        <v>24.99</v>
      </c>
      <c r="F573" s="9">
        <v>100145036</v>
      </c>
      <c r="G573" s="8" t="s">
        <v>50</v>
      </c>
      <c r="H573" s="12" t="s">
        <v>46</v>
      </c>
      <c r="I573" s="10">
        <v>2.2884615384615383</v>
      </c>
      <c r="J573" s="8" t="s">
        <v>29</v>
      </c>
      <c r="K573" s="8" t="s">
        <v>975</v>
      </c>
      <c r="L573" s="8"/>
      <c r="M573" s="8"/>
      <c r="N573" s="13" t="str">
        <f>HYPERLINK("http://slimages.macys.com/is/image/MCY/20728875 ")</f>
        <v xml:space="preserve">http://slimages.macys.com/is/image/MCY/20728875 </v>
      </c>
    </row>
    <row r="574" spans="1:14" ht="48" x14ac:dyDescent="0.25">
      <c r="A574" s="12" t="s">
        <v>1649</v>
      </c>
      <c r="B574" s="8" t="s">
        <v>1650</v>
      </c>
      <c r="C574" s="9">
        <v>1</v>
      </c>
      <c r="D574" s="10">
        <v>4</v>
      </c>
      <c r="E574" s="10">
        <v>8.99</v>
      </c>
      <c r="F574" s="9" t="s">
        <v>1651</v>
      </c>
      <c r="G574" s="8" t="s">
        <v>137</v>
      </c>
      <c r="H574" s="12" t="s">
        <v>1652</v>
      </c>
      <c r="I574" s="10">
        <v>2.1538461538461537</v>
      </c>
      <c r="J574" s="8" t="s">
        <v>209</v>
      </c>
      <c r="K574" s="8" t="s">
        <v>1529</v>
      </c>
      <c r="L574" s="8" t="s">
        <v>31</v>
      </c>
      <c r="M574" s="8" t="s">
        <v>1490</v>
      </c>
      <c r="N574" s="13" t="str">
        <f>HYPERLINK("http://slimages.macys.com/is/image/MCY/14324020 ")</f>
        <v xml:space="preserve">http://slimages.macys.com/is/image/MCY/14324020 </v>
      </c>
    </row>
    <row r="575" spans="1:14" ht="48" x14ac:dyDescent="0.25">
      <c r="A575" s="12" t="s">
        <v>1653</v>
      </c>
      <c r="B575" s="8" t="s">
        <v>1654</v>
      </c>
      <c r="C575" s="9">
        <v>1</v>
      </c>
      <c r="D575" s="10">
        <v>3.99</v>
      </c>
      <c r="E575" s="10">
        <v>12.99</v>
      </c>
      <c r="F575" s="9">
        <v>48581430</v>
      </c>
      <c r="G575" s="8" t="s">
        <v>475</v>
      </c>
      <c r="H575" s="12" t="s">
        <v>1234</v>
      </c>
      <c r="I575" s="10">
        <v>2.1484615384615386</v>
      </c>
      <c r="J575" s="8" t="s">
        <v>254</v>
      </c>
      <c r="K575" s="8" t="s">
        <v>512</v>
      </c>
      <c r="L575" s="8" t="s">
        <v>31</v>
      </c>
      <c r="M575" s="8" t="s">
        <v>813</v>
      </c>
      <c r="N575" s="13" t="str">
        <f>HYPERLINK("http://slimages.macys.com/is/image/MCY/8805388 ")</f>
        <v xml:space="preserve">http://slimages.macys.com/is/image/MCY/8805388 </v>
      </c>
    </row>
    <row r="576" spans="1:14" ht="60" x14ac:dyDescent="0.25">
      <c r="A576" s="12" t="s">
        <v>1655</v>
      </c>
      <c r="B576" s="8" t="s">
        <v>1656</v>
      </c>
      <c r="C576" s="9">
        <v>1</v>
      </c>
      <c r="D576" s="10">
        <v>3.95</v>
      </c>
      <c r="E576" s="10">
        <v>12.99</v>
      </c>
      <c r="F576" s="9" t="s">
        <v>1657</v>
      </c>
      <c r="G576" s="8" t="s">
        <v>35</v>
      </c>
      <c r="H576" s="12"/>
      <c r="I576" s="10">
        <v>2.1269230769230769</v>
      </c>
      <c r="J576" s="8" t="s">
        <v>202</v>
      </c>
      <c r="K576" s="8" t="s">
        <v>203</v>
      </c>
      <c r="L576" s="8" t="s">
        <v>31</v>
      </c>
      <c r="M576" s="8" t="s">
        <v>69</v>
      </c>
      <c r="N576" s="13" t="str">
        <f>HYPERLINK("http://slimages.macys.com/is/image/MCY/11556082 ")</f>
        <v xml:space="preserve">http://slimages.macys.com/is/image/MCY/11556082 </v>
      </c>
    </row>
    <row r="577" spans="1:14" ht="60" x14ac:dyDescent="0.25">
      <c r="A577" s="12" t="s">
        <v>1658</v>
      </c>
      <c r="B577" s="8" t="s">
        <v>1659</v>
      </c>
      <c r="C577" s="9">
        <v>1</v>
      </c>
      <c r="D577" s="10">
        <v>3.93</v>
      </c>
      <c r="E577" s="10">
        <v>12.99</v>
      </c>
      <c r="F577" s="9">
        <v>10014021300</v>
      </c>
      <c r="G577" s="8" t="s">
        <v>50</v>
      </c>
      <c r="H577" s="12" t="s">
        <v>46</v>
      </c>
      <c r="I577" s="10">
        <v>2.1161538461538458</v>
      </c>
      <c r="J577" s="8" t="s">
        <v>202</v>
      </c>
      <c r="K577" s="8" t="s">
        <v>408</v>
      </c>
      <c r="L577" s="8"/>
      <c r="M577" s="8"/>
      <c r="N577" s="13" t="str">
        <f>HYPERLINK("http://slimages.macys.com/is/image/MCY/21488709 ")</f>
        <v xml:space="preserve">http://slimages.macys.com/is/image/MCY/21488709 </v>
      </c>
    </row>
    <row r="578" spans="1:14" ht="48" x14ac:dyDescent="0.25">
      <c r="A578" s="12" t="s">
        <v>1660</v>
      </c>
      <c r="B578" s="8" t="s">
        <v>1661</v>
      </c>
      <c r="C578" s="9">
        <v>1</v>
      </c>
      <c r="D578" s="10">
        <v>3.7</v>
      </c>
      <c r="E578" s="10">
        <v>9.99</v>
      </c>
      <c r="F578" s="9" t="s">
        <v>1662</v>
      </c>
      <c r="G578" s="8" t="s">
        <v>50</v>
      </c>
      <c r="H578" s="12" t="s">
        <v>46</v>
      </c>
      <c r="I578" s="10">
        <v>1.9923076923076921</v>
      </c>
      <c r="J578" s="8" t="s">
        <v>262</v>
      </c>
      <c r="K578" s="8" t="s">
        <v>1216</v>
      </c>
      <c r="L578" s="8"/>
      <c r="M578" s="8"/>
      <c r="N578" s="13" t="str">
        <f>HYPERLINK("http://slimages.macys.com/is/image/MCY/19095869 ")</f>
        <v xml:space="preserve">http://slimages.macys.com/is/image/MCY/19095869 </v>
      </c>
    </row>
    <row r="579" spans="1:14" ht="48" x14ac:dyDescent="0.25">
      <c r="A579" s="12" t="s">
        <v>1663</v>
      </c>
      <c r="B579" s="8" t="s">
        <v>1664</v>
      </c>
      <c r="C579" s="9">
        <v>1</v>
      </c>
      <c r="D579" s="10">
        <v>3.7</v>
      </c>
      <c r="E579" s="10">
        <v>9.99</v>
      </c>
      <c r="F579" s="9" t="s">
        <v>1665</v>
      </c>
      <c r="G579" s="8" t="s">
        <v>50</v>
      </c>
      <c r="H579" s="12" t="s">
        <v>46</v>
      </c>
      <c r="I579" s="10">
        <v>1.9923076923076921</v>
      </c>
      <c r="J579" s="8" t="s">
        <v>262</v>
      </c>
      <c r="K579" s="8" t="s">
        <v>1216</v>
      </c>
      <c r="L579" s="8"/>
      <c r="M579" s="8"/>
      <c r="N579" s="13" t="str">
        <f>HYPERLINK("http://slimages.macys.com/is/image/MCY/20072321 ")</f>
        <v xml:space="preserve">http://slimages.macys.com/is/image/MCY/20072321 </v>
      </c>
    </row>
    <row r="580" spans="1:14" ht="48" x14ac:dyDescent="0.25">
      <c r="A580" s="12" t="s">
        <v>1660</v>
      </c>
      <c r="B580" s="8" t="s">
        <v>1661</v>
      </c>
      <c r="C580" s="9">
        <v>3</v>
      </c>
      <c r="D580" s="10">
        <v>3.7</v>
      </c>
      <c r="E580" s="10">
        <v>9.99</v>
      </c>
      <c r="F580" s="9" t="s">
        <v>1662</v>
      </c>
      <c r="G580" s="8" t="s">
        <v>50</v>
      </c>
      <c r="H580" s="12" t="s">
        <v>46</v>
      </c>
      <c r="I580" s="10">
        <v>1.9923076923076921</v>
      </c>
      <c r="J580" s="8" t="s">
        <v>262</v>
      </c>
      <c r="K580" s="8" t="s">
        <v>1216</v>
      </c>
      <c r="L580" s="8"/>
      <c r="M580" s="8"/>
      <c r="N580" s="13" t="str">
        <f>HYPERLINK("http://slimages.macys.com/is/image/MCY/19095869 ")</f>
        <v xml:space="preserve">http://slimages.macys.com/is/image/MCY/19095869 </v>
      </c>
    </row>
    <row r="581" spans="1:14" ht="48" x14ac:dyDescent="0.25">
      <c r="A581" s="12" t="s">
        <v>1666</v>
      </c>
      <c r="B581" s="8" t="s">
        <v>1667</v>
      </c>
      <c r="C581" s="9">
        <v>2</v>
      </c>
      <c r="D581" s="10">
        <v>3.59</v>
      </c>
      <c r="E581" s="10">
        <v>9.99</v>
      </c>
      <c r="F581" s="9">
        <v>100145073</v>
      </c>
      <c r="G581" s="8" t="s">
        <v>50</v>
      </c>
      <c r="H581" s="12" t="s">
        <v>46</v>
      </c>
      <c r="I581" s="10">
        <v>1.9330769230769229</v>
      </c>
      <c r="J581" s="8" t="s">
        <v>29</v>
      </c>
      <c r="K581" s="8" t="s">
        <v>975</v>
      </c>
      <c r="L581" s="8"/>
      <c r="M581" s="8"/>
      <c r="N581" s="13" t="str">
        <f>HYPERLINK("http://slimages.macys.com/is/image/MCY/1104685 ")</f>
        <v xml:space="preserve">http://slimages.macys.com/is/image/MCY/1104685 </v>
      </c>
    </row>
    <row r="582" spans="1:14" ht="60" x14ac:dyDescent="0.25">
      <c r="A582" s="12" t="s">
        <v>1668</v>
      </c>
      <c r="B582" s="8" t="s">
        <v>1629</v>
      </c>
      <c r="C582" s="9">
        <v>1</v>
      </c>
      <c r="D582" s="10">
        <v>3.57</v>
      </c>
      <c r="E582" s="10">
        <v>11.99</v>
      </c>
      <c r="F582" s="9">
        <v>10008743100</v>
      </c>
      <c r="G582" s="8" t="s">
        <v>50</v>
      </c>
      <c r="H582" s="12" t="s">
        <v>46</v>
      </c>
      <c r="I582" s="10">
        <v>1.9223076923076923</v>
      </c>
      <c r="J582" s="8" t="s">
        <v>202</v>
      </c>
      <c r="K582" s="8" t="s">
        <v>203</v>
      </c>
      <c r="L582" s="8" t="s">
        <v>31</v>
      </c>
      <c r="M582" s="8" t="s">
        <v>69</v>
      </c>
      <c r="N582" s="13" t="str">
        <f>HYPERLINK("http://slimages.macys.com/is/image/MCY/3137273 ")</f>
        <v xml:space="preserve">http://slimages.macys.com/is/image/MCY/3137273 </v>
      </c>
    </row>
    <row r="583" spans="1:14" ht="48" x14ac:dyDescent="0.25">
      <c r="A583" s="12" t="s">
        <v>1669</v>
      </c>
      <c r="B583" s="8" t="s">
        <v>1670</v>
      </c>
      <c r="C583" s="9">
        <v>1</v>
      </c>
      <c r="D583" s="10">
        <v>3.4</v>
      </c>
      <c r="E583" s="10">
        <v>9.99</v>
      </c>
      <c r="F583" s="9" t="s">
        <v>1671</v>
      </c>
      <c r="G583" s="8" t="s">
        <v>50</v>
      </c>
      <c r="H583" s="12" t="s">
        <v>46</v>
      </c>
      <c r="I583" s="10">
        <v>1.8307692307692307</v>
      </c>
      <c r="J583" s="8" t="s">
        <v>262</v>
      </c>
      <c r="K583" s="8" t="s">
        <v>1216</v>
      </c>
      <c r="L583" s="8"/>
      <c r="M583" s="8"/>
      <c r="N583" s="13" t="str">
        <f>HYPERLINK("http://slimages.macys.com/is/image/MCY/20072369 ")</f>
        <v xml:space="preserve">http://slimages.macys.com/is/image/MCY/20072369 </v>
      </c>
    </row>
    <row r="584" spans="1:14" ht="48" x14ac:dyDescent="0.25">
      <c r="A584" s="12" t="s">
        <v>1672</v>
      </c>
      <c r="B584" s="8" t="s">
        <v>1673</v>
      </c>
      <c r="C584" s="9">
        <v>2</v>
      </c>
      <c r="D584" s="10">
        <v>3.4</v>
      </c>
      <c r="E584" s="10">
        <v>9.99</v>
      </c>
      <c r="F584" s="9" t="s">
        <v>1674</v>
      </c>
      <c r="G584" s="8" t="s">
        <v>50</v>
      </c>
      <c r="H584" s="12" t="s">
        <v>46</v>
      </c>
      <c r="I584" s="10">
        <v>1.8307692307692307</v>
      </c>
      <c r="J584" s="8" t="s">
        <v>262</v>
      </c>
      <c r="K584" s="8" t="s">
        <v>1216</v>
      </c>
      <c r="L584" s="8"/>
      <c r="M584" s="8"/>
      <c r="N584" s="13" t="str">
        <f>HYPERLINK("http://slimages.macys.com/is/image/MCY/20072255 ")</f>
        <v xml:space="preserve">http://slimages.macys.com/is/image/MCY/20072255 </v>
      </c>
    </row>
    <row r="585" spans="1:14" ht="48" x14ac:dyDescent="0.25">
      <c r="A585" s="12" t="s">
        <v>1675</v>
      </c>
      <c r="B585" s="8" t="s">
        <v>1676</v>
      </c>
      <c r="C585" s="9">
        <v>2</v>
      </c>
      <c r="D585" s="10">
        <v>3.4</v>
      </c>
      <c r="E585" s="10">
        <v>9.99</v>
      </c>
      <c r="F585" s="9" t="s">
        <v>1677</v>
      </c>
      <c r="G585" s="8" t="s">
        <v>50</v>
      </c>
      <c r="H585" s="12" t="s">
        <v>46</v>
      </c>
      <c r="I585" s="10">
        <v>1.8307692307692307</v>
      </c>
      <c r="J585" s="8" t="s">
        <v>262</v>
      </c>
      <c r="K585" s="8" t="s">
        <v>1216</v>
      </c>
      <c r="L585" s="8"/>
      <c r="M585" s="8"/>
      <c r="N585" s="13" t="str">
        <f>HYPERLINK("http://slimages.macys.com/is/image/MCY/20072303 ")</f>
        <v xml:space="preserve">http://slimages.macys.com/is/image/MCY/20072303 </v>
      </c>
    </row>
    <row r="586" spans="1:14" ht="48" x14ac:dyDescent="0.25">
      <c r="A586" s="12" t="s">
        <v>1672</v>
      </c>
      <c r="B586" s="8" t="s">
        <v>1673</v>
      </c>
      <c r="C586" s="9">
        <v>1</v>
      </c>
      <c r="D586" s="10">
        <v>3.4</v>
      </c>
      <c r="E586" s="10">
        <v>9.99</v>
      </c>
      <c r="F586" s="9" t="s">
        <v>1674</v>
      </c>
      <c r="G586" s="8" t="s">
        <v>50</v>
      </c>
      <c r="H586" s="12" t="s">
        <v>46</v>
      </c>
      <c r="I586" s="10">
        <v>1.8307692307692307</v>
      </c>
      <c r="J586" s="8" t="s">
        <v>262</v>
      </c>
      <c r="K586" s="8" t="s">
        <v>1216</v>
      </c>
      <c r="L586" s="8"/>
      <c r="M586" s="8"/>
      <c r="N586" s="13" t="str">
        <f>HYPERLINK("http://slimages.macys.com/is/image/MCY/20072255 ")</f>
        <v xml:space="preserve">http://slimages.macys.com/is/image/MCY/20072255 </v>
      </c>
    </row>
    <row r="587" spans="1:14" ht="48" x14ac:dyDescent="0.25">
      <c r="A587" s="12" t="s">
        <v>1669</v>
      </c>
      <c r="B587" s="8" t="s">
        <v>1670</v>
      </c>
      <c r="C587" s="9">
        <v>1</v>
      </c>
      <c r="D587" s="10">
        <v>3.4</v>
      </c>
      <c r="E587" s="10">
        <v>9.99</v>
      </c>
      <c r="F587" s="9" t="s">
        <v>1671</v>
      </c>
      <c r="G587" s="8" t="s">
        <v>50</v>
      </c>
      <c r="H587" s="12" t="s">
        <v>46</v>
      </c>
      <c r="I587" s="10">
        <v>1.8307692307692307</v>
      </c>
      <c r="J587" s="8" t="s">
        <v>262</v>
      </c>
      <c r="K587" s="8" t="s">
        <v>1216</v>
      </c>
      <c r="L587" s="8"/>
      <c r="M587" s="8"/>
      <c r="N587" s="13" t="str">
        <f>HYPERLINK("http://slimages.macys.com/is/image/MCY/20072369 ")</f>
        <v xml:space="preserve">http://slimages.macys.com/is/image/MCY/20072369 </v>
      </c>
    </row>
    <row r="588" spans="1:14" ht="60" x14ac:dyDescent="0.25">
      <c r="A588" s="12" t="s">
        <v>1678</v>
      </c>
      <c r="B588" s="8" t="s">
        <v>1679</v>
      </c>
      <c r="C588" s="9">
        <v>1</v>
      </c>
      <c r="D588" s="10">
        <v>3.4</v>
      </c>
      <c r="E588" s="10">
        <v>23.11</v>
      </c>
      <c r="F588" s="9" t="s">
        <v>1680</v>
      </c>
      <c r="G588" s="8" t="s">
        <v>355</v>
      </c>
      <c r="H588" s="12" t="s">
        <v>1341</v>
      </c>
      <c r="I588" s="10">
        <v>1.8307692307692307</v>
      </c>
      <c r="J588" s="8" t="s">
        <v>209</v>
      </c>
      <c r="K588" s="8" t="s">
        <v>1681</v>
      </c>
      <c r="L588" s="8" t="s">
        <v>31</v>
      </c>
      <c r="M588" s="8" t="s">
        <v>1104</v>
      </c>
      <c r="N588" s="13" t="str">
        <f>HYPERLINK("http://slimages.macys.com/is/image/MCY/3836056 ")</f>
        <v xml:space="preserve">http://slimages.macys.com/is/image/MCY/3836056 </v>
      </c>
    </row>
    <row r="589" spans="1:14" ht="48" x14ac:dyDescent="0.25">
      <c r="A589" s="12" t="s">
        <v>1675</v>
      </c>
      <c r="B589" s="8" t="s">
        <v>1676</v>
      </c>
      <c r="C589" s="9">
        <v>7</v>
      </c>
      <c r="D589" s="10">
        <v>3.4</v>
      </c>
      <c r="E589" s="10">
        <v>9.99</v>
      </c>
      <c r="F589" s="9" t="s">
        <v>1677</v>
      </c>
      <c r="G589" s="8" t="s">
        <v>50</v>
      </c>
      <c r="H589" s="12" t="s">
        <v>46</v>
      </c>
      <c r="I589" s="10">
        <v>1.8307692307692307</v>
      </c>
      <c r="J589" s="8" t="s">
        <v>262</v>
      </c>
      <c r="K589" s="8" t="s">
        <v>1216</v>
      </c>
      <c r="L589" s="8"/>
      <c r="M589" s="8"/>
      <c r="N589" s="13" t="str">
        <f>HYPERLINK("http://slimages.macys.com/is/image/MCY/20072303 ")</f>
        <v xml:space="preserve">http://slimages.macys.com/is/image/MCY/20072303 </v>
      </c>
    </row>
    <row r="590" spans="1:14" ht="48" x14ac:dyDescent="0.25">
      <c r="A590" s="12" t="s">
        <v>1672</v>
      </c>
      <c r="B590" s="8" t="s">
        <v>1673</v>
      </c>
      <c r="C590" s="9">
        <v>11</v>
      </c>
      <c r="D590" s="10">
        <v>3.4</v>
      </c>
      <c r="E590" s="10">
        <v>9.99</v>
      </c>
      <c r="F590" s="9" t="s">
        <v>1674</v>
      </c>
      <c r="G590" s="8" t="s">
        <v>50</v>
      </c>
      <c r="H590" s="12" t="s">
        <v>46</v>
      </c>
      <c r="I590" s="10">
        <v>1.8307692307692307</v>
      </c>
      <c r="J590" s="8" t="s">
        <v>262</v>
      </c>
      <c r="K590" s="8" t="s">
        <v>1216</v>
      </c>
      <c r="L590" s="8"/>
      <c r="M590" s="8"/>
      <c r="N590" s="13" t="str">
        <f>HYPERLINK("http://slimages.macys.com/is/image/MCY/20072255 ")</f>
        <v xml:space="preserve">http://slimages.macys.com/is/image/MCY/20072255 </v>
      </c>
    </row>
    <row r="591" spans="1:14" ht="48" x14ac:dyDescent="0.25">
      <c r="A591" s="12" t="s">
        <v>1675</v>
      </c>
      <c r="B591" s="8" t="s">
        <v>1676</v>
      </c>
      <c r="C591" s="9">
        <v>1</v>
      </c>
      <c r="D591" s="10">
        <v>3.4</v>
      </c>
      <c r="E591" s="10">
        <v>9.99</v>
      </c>
      <c r="F591" s="9" t="s">
        <v>1677</v>
      </c>
      <c r="G591" s="8" t="s">
        <v>50</v>
      </c>
      <c r="H591" s="12" t="s">
        <v>46</v>
      </c>
      <c r="I591" s="10">
        <v>1.8307692307692307</v>
      </c>
      <c r="J591" s="8" t="s">
        <v>262</v>
      </c>
      <c r="K591" s="8" t="s">
        <v>1216</v>
      </c>
      <c r="L591" s="8"/>
      <c r="M591" s="8"/>
      <c r="N591" s="13" t="str">
        <f>HYPERLINK("http://slimages.macys.com/is/image/MCY/20072303 ")</f>
        <v xml:space="preserve">http://slimages.macys.com/is/image/MCY/20072303 </v>
      </c>
    </row>
    <row r="592" spans="1:14" ht="48" x14ac:dyDescent="0.25">
      <c r="A592" s="12" t="s">
        <v>1669</v>
      </c>
      <c r="B592" s="8" t="s">
        <v>1670</v>
      </c>
      <c r="C592" s="9">
        <v>1</v>
      </c>
      <c r="D592" s="10">
        <v>3.4</v>
      </c>
      <c r="E592" s="10">
        <v>9.99</v>
      </c>
      <c r="F592" s="9" t="s">
        <v>1671</v>
      </c>
      <c r="G592" s="8" t="s">
        <v>50</v>
      </c>
      <c r="H592" s="12" t="s">
        <v>46</v>
      </c>
      <c r="I592" s="10">
        <v>1.8307692307692307</v>
      </c>
      <c r="J592" s="8" t="s">
        <v>262</v>
      </c>
      <c r="K592" s="8" t="s">
        <v>1216</v>
      </c>
      <c r="L592" s="8"/>
      <c r="M592" s="8"/>
      <c r="N592" s="13" t="str">
        <f>HYPERLINK("http://slimages.macys.com/is/image/MCY/20072369 ")</f>
        <v xml:space="preserve">http://slimages.macys.com/is/image/MCY/20072369 </v>
      </c>
    </row>
    <row r="593" spans="1:14" ht="48" x14ac:dyDescent="0.25">
      <c r="A593" s="12" t="s">
        <v>1669</v>
      </c>
      <c r="B593" s="8" t="s">
        <v>1670</v>
      </c>
      <c r="C593" s="9">
        <v>18</v>
      </c>
      <c r="D593" s="10">
        <v>3.4</v>
      </c>
      <c r="E593" s="10">
        <v>9.99</v>
      </c>
      <c r="F593" s="9" t="s">
        <v>1671</v>
      </c>
      <c r="G593" s="8" t="s">
        <v>50</v>
      </c>
      <c r="H593" s="12" t="s">
        <v>46</v>
      </c>
      <c r="I593" s="10">
        <v>1.8307692307692307</v>
      </c>
      <c r="J593" s="8" t="s">
        <v>262</v>
      </c>
      <c r="K593" s="8" t="s">
        <v>1216</v>
      </c>
      <c r="L593" s="8"/>
      <c r="M593" s="8"/>
      <c r="N593" s="13" t="str">
        <f>HYPERLINK("http://slimages.macys.com/is/image/MCY/20072369 ")</f>
        <v xml:space="preserve">http://slimages.macys.com/is/image/MCY/20072369 </v>
      </c>
    </row>
    <row r="594" spans="1:14" ht="48" x14ac:dyDescent="0.25">
      <c r="A594" s="12" t="s">
        <v>1669</v>
      </c>
      <c r="B594" s="8" t="s">
        <v>1670</v>
      </c>
      <c r="C594" s="9">
        <v>40</v>
      </c>
      <c r="D594" s="10">
        <v>3.4</v>
      </c>
      <c r="E594" s="10">
        <v>9.99</v>
      </c>
      <c r="F594" s="9" t="s">
        <v>1671</v>
      </c>
      <c r="G594" s="8" t="s">
        <v>50</v>
      </c>
      <c r="H594" s="12" t="s">
        <v>46</v>
      </c>
      <c r="I594" s="10">
        <v>1.8307692307692307</v>
      </c>
      <c r="J594" s="8" t="s">
        <v>262</v>
      </c>
      <c r="K594" s="8" t="s">
        <v>1216</v>
      </c>
      <c r="L594" s="8"/>
      <c r="M594" s="8"/>
      <c r="N594" s="13" t="str">
        <f>HYPERLINK("http://slimages.macys.com/is/image/MCY/20072369 ")</f>
        <v xml:space="preserve">http://slimages.macys.com/is/image/MCY/20072369 </v>
      </c>
    </row>
    <row r="595" spans="1:14" ht="48" x14ac:dyDescent="0.25">
      <c r="A595" s="12" t="s">
        <v>1682</v>
      </c>
      <c r="B595" s="8" t="s">
        <v>1683</v>
      </c>
      <c r="C595" s="9">
        <v>1</v>
      </c>
      <c r="D595" s="10">
        <v>3.27</v>
      </c>
      <c r="E595" s="10">
        <v>9.99</v>
      </c>
      <c r="F595" s="9" t="s">
        <v>1684</v>
      </c>
      <c r="G595" s="8" t="s">
        <v>50</v>
      </c>
      <c r="H595" s="12" t="s">
        <v>46</v>
      </c>
      <c r="I595" s="10">
        <v>1.7607692307692309</v>
      </c>
      <c r="J595" s="8" t="s">
        <v>262</v>
      </c>
      <c r="K595" s="8" t="s">
        <v>1216</v>
      </c>
      <c r="L595" s="8"/>
      <c r="M595" s="8"/>
      <c r="N595" s="13" t="str">
        <f>HYPERLINK("http://slimages.macys.com/is/image/MCY/17696822 ")</f>
        <v xml:space="preserve">http://slimages.macys.com/is/image/MCY/17696822 </v>
      </c>
    </row>
    <row r="596" spans="1:14" ht="48" x14ac:dyDescent="0.25">
      <c r="A596" s="12" t="s">
        <v>1685</v>
      </c>
      <c r="B596" s="8" t="s">
        <v>1686</v>
      </c>
      <c r="C596" s="9">
        <v>1</v>
      </c>
      <c r="D596" s="10">
        <v>3.2</v>
      </c>
      <c r="E596" s="10">
        <v>6.99</v>
      </c>
      <c r="F596" s="9" t="s">
        <v>1687</v>
      </c>
      <c r="G596" s="8"/>
      <c r="H596" s="12" t="s">
        <v>46</v>
      </c>
      <c r="I596" s="10">
        <v>1.7230769230769232</v>
      </c>
      <c r="J596" s="8" t="s">
        <v>262</v>
      </c>
      <c r="K596" s="8" t="s">
        <v>1274</v>
      </c>
      <c r="L596" s="8" t="s">
        <v>1275</v>
      </c>
      <c r="M596" s="8" t="s">
        <v>1276</v>
      </c>
      <c r="N596" s="13" t="str">
        <f>HYPERLINK("http://slimages.macys.com/is/image/MCY/3713818 ")</f>
        <v xml:space="preserve">http://slimages.macys.com/is/image/MCY/3713818 </v>
      </c>
    </row>
    <row r="597" spans="1:14" ht="48" x14ac:dyDescent="0.25">
      <c r="A597" s="12" t="s">
        <v>1688</v>
      </c>
      <c r="B597" s="8" t="s">
        <v>1689</v>
      </c>
      <c r="C597" s="9">
        <v>1</v>
      </c>
      <c r="D597" s="10">
        <v>3</v>
      </c>
      <c r="E597" s="10">
        <v>9.99</v>
      </c>
      <c r="F597" s="9">
        <v>22949</v>
      </c>
      <c r="G597" s="8" t="s">
        <v>137</v>
      </c>
      <c r="H597" s="12" t="s">
        <v>46</v>
      </c>
      <c r="I597" s="10">
        <v>1.6153846153846154</v>
      </c>
      <c r="J597" s="8" t="s">
        <v>313</v>
      </c>
      <c r="K597" s="8" t="s">
        <v>1074</v>
      </c>
      <c r="L597" s="8" t="s">
        <v>31</v>
      </c>
      <c r="M597" s="8"/>
      <c r="N597" s="13" t="str">
        <f>HYPERLINK("http://slimages.macys.com/is/image/MCY/13079396 ")</f>
        <v xml:space="preserve">http://slimages.macys.com/is/image/MCY/13079396 </v>
      </c>
    </row>
    <row r="598" spans="1:14" ht="60" x14ac:dyDescent="0.25">
      <c r="A598" s="12" t="s">
        <v>1690</v>
      </c>
      <c r="B598" s="8" t="s">
        <v>1691</v>
      </c>
      <c r="C598" s="9">
        <v>1</v>
      </c>
      <c r="D598" s="10">
        <v>3</v>
      </c>
      <c r="E598" s="10">
        <v>10.99</v>
      </c>
      <c r="F598" s="9" t="s">
        <v>1692</v>
      </c>
      <c r="G598" s="8" t="s">
        <v>50</v>
      </c>
      <c r="H598" s="12" t="s">
        <v>1251</v>
      </c>
      <c r="I598" s="10">
        <v>1.6153846153846154</v>
      </c>
      <c r="J598" s="8" t="s">
        <v>202</v>
      </c>
      <c r="K598" s="8" t="s">
        <v>203</v>
      </c>
      <c r="L598" s="8" t="s">
        <v>31</v>
      </c>
      <c r="M598" s="8" t="s">
        <v>69</v>
      </c>
      <c r="N598" s="13" t="str">
        <f>HYPERLINK("http://slimages.macys.com/is/image/MCY/11502695 ")</f>
        <v xml:space="preserve">http://slimages.macys.com/is/image/MCY/11502695 </v>
      </c>
    </row>
    <row r="599" spans="1:14" ht="60" x14ac:dyDescent="0.25">
      <c r="A599" s="12" t="s">
        <v>1693</v>
      </c>
      <c r="B599" s="8" t="s">
        <v>1694</v>
      </c>
      <c r="C599" s="9">
        <v>2</v>
      </c>
      <c r="D599" s="10">
        <v>2.88</v>
      </c>
      <c r="E599" s="10">
        <v>10.99</v>
      </c>
      <c r="F599" s="9" t="s">
        <v>1695</v>
      </c>
      <c r="G599" s="8" t="s">
        <v>35</v>
      </c>
      <c r="H599" s="12"/>
      <c r="I599" s="10">
        <v>1.5507692307692307</v>
      </c>
      <c r="J599" s="8" t="s">
        <v>202</v>
      </c>
      <c r="K599" s="8" t="s">
        <v>203</v>
      </c>
      <c r="L599" s="8" t="s">
        <v>31</v>
      </c>
      <c r="M599" s="8" t="s">
        <v>69</v>
      </c>
      <c r="N599" s="13" t="str">
        <f>HYPERLINK("http://slimages.macys.com/is/image/MCY/3137273 ")</f>
        <v xml:space="preserve">http://slimages.macys.com/is/image/MCY/3137273 </v>
      </c>
    </row>
    <row r="600" spans="1:14" ht="48" x14ac:dyDescent="0.25">
      <c r="A600" s="12" t="s">
        <v>1696</v>
      </c>
      <c r="B600" s="8" t="s">
        <v>1697</v>
      </c>
      <c r="C600" s="9">
        <v>4</v>
      </c>
      <c r="D600" s="10">
        <v>2.85</v>
      </c>
      <c r="E600" s="10">
        <v>7.99</v>
      </c>
      <c r="F600" s="9" t="s">
        <v>1698</v>
      </c>
      <c r="G600" s="8" t="s">
        <v>1581</v>
      </c>
      <c r="H600" s="12"/>
      <c r="I600" s="10">
        <v>1.5346153846153847</v>
      </c>
      <c r="J600" s="8" t="s">
        <v>209</v>
      </c>
      <c r="K600" s="8" t="s">
        <v>839</v>
      </c>
      <c r="L600" s="8"/>
      <c r="M600" s="8"/>
      <c r="N600" s="13" t="str">
        <f>HYPERLINK("http://slimages.macys.com/is/image/MCY/21260091 ")</f>
        <v xml:space="preserve">http://slimages.macys.com/is/image/MCY/21260091 </v>
      </c>
    </row>
    <row r="601" spans="1:14" ht="84" x14ac:dyDescent="0.25">
      <c r="A601" s="12" t="s">
        <v>1699</v>
      </c>
      <c r="B601" s="8" t="s">
        <v>1700</v>
      </c>
      <c r="C601" s="9">
        <v>1</v>
      </c>
      <c r="D601" s="10">
        <v>2.67</v>
      </c>
      <c r="E601" s="10">
        <v>6.49</v>
      </c>
      <c r="F601" s="9">
        <v>459341</v>
      </c>
      <c r="G601" s="8" t="s">
        <v>1701</v>
      </c>
      <c r="H601" s="12" t="s">
        <v>946</v>
      </c>
      <c r="I601" s="10">
        <v>1.4376923076923076</v>
      </c>
      <c r="J601" s="8" t="s">
        <v>254</v>
      </c>
      <c r="K601" s="8" t="s">
        <v>1385</v>
      </c>
      <c r="L601" s="8"/>
      <c r="M601" s="8" t="s">
        <v>1702</v>
      </c>
      <c r="N601" s="13" t="str">
        <f>HYPERLINK("http://slimages.macys.com/is/image/MCY/3534683 ")</f>
        <v xml:space="preserve">http://slimages.macys.com/is/image/MCY/3534683 </v>
      </c>
    </row>
    <row r="602" spans="1:14" ht="48" x14ac:dyDescent="0.25">
      <c r="A602" s="12" t="s">
        <v>1703</v>
      </c>
      <c r="B602" s="8" t="s">
        <v>1704</v>
      </c>
      <c r="C602" s="9">
        <v>5</v>
      </c>
      <c r="D602" s="10">
        <v>2.54</v>
      </c>
      <c r="E602" s="10">
        <v>6.99</v>
      </c>
      <c r="F602" s="9">
        <v>10012660500</v>
      </c>
      <c r="G602" s="8" t="s">
        <v>50</v>
      </c>
      <c r="H602" s="12" t="s">
        <v>46</v>
      </c>
      <c r="I602" s="10">
        <v>1.3676923076923078</v>
      </c>
      <c r="J602" s="8" t="s">
        <v>209</v>
      </c>
      <c r="K602" s="8" t="s">
        <v>1705</v>
      </c>
      <c r="L602" s="8"/>
      <c r="M602" s="8"/>
      <c r="N602" s="13" t="str">
        <f>HYPERLINK("http://slimages.macys.com/is/image/MCY/19140749 ")</f>
        <v xml:space="preserve">http://slimages.macys.com/is/image/MCY/19140749 </v>
      </c>
    </row>
    <row r="603" spans="1:14" ht="48" x14ac:dyDescent="0.25">
      <c r="A603" s="12" t="s">
        <v>1706</v>
      </c>
      <c r="B603" s="8" t="s">
        <v>1707</v>
      </c>
      <c r="C603" s="9">
        <v>1</v>
      </c>
      <c r="D603" s="10">
        <v>2.5</v>
      </c>
      <c r="E603" s="10">
        <v>6.99</v>
      </c>
      <c r="F603" s="9">
        <v>26168</v>
      </c>
      <c r="G603" s="8" t="s">
        <v>793</v>
      </c>
      <c r="H603" s="12"/>
      <c r="I603" s="10">
        <v>1.346153846153846</v>
      </c>
      <c r="J603" s="8" t="s">
        <v>209</v>
      </c>
      <c r="K603" s="8" t="s">
        <v>1564</v>
      </c>
      <c r="L603" s="8"/>
      <c r="M603" s="8"/>
      <c r="N603" s="13" t="str">
        <f>HYPERLINK("http://slimages.macys.com/is/image/MCY/17785806 ")</f>
        <v xml:space="preserve">http://slimages.macys.com/is/image/MCY/17785806 </v>
      </c>
    </row>
    <row r="604" spans="1:14" ht="48" x14ac:dyDescent="0.25">
      <c r="A604" s="12" t="s">
        <v>1708</v>
      </c>
      <c r="B604" s="8" t="s">
        <v>1709</v>
      </c>
      <c r="C604" s="9">
        <v>9</v>
      </c>
      <c r="D604" s="10">
        <v>2.5</v>
      </c>
      <c r="E604" s="10">
        <v>5.99</v>
      </c>
      <c r="F604" s="9">
        <v>5229006</v>
      </c>
      <c r="G604" s="8" t="s">
        <v>35</v>
      </c>
      <c r="H604" s="12" t="s">
        <v>1251</v>
      </c>
      <c r="I604" s="10">
        <v>1.346153846153846</v>
      </c>
      <c r="J604" s="8" t="s">
        <v>254</v>
      </c>
      <c r="K604" s="8" t="s">
        <v>309</v>
      </c>
      <c r="L604" s="8" t="s">
        <v>31</v>
      </c>
      <c r="M604" s="8" t="s">
        <v>69</v>
      </c>
      <c r="N604" s="13" t="str">
        <f>HYPERLINK("http://slimages.macys.com/is/image/MCY/9457889 ")</f>
        <v xml:space="preserve">http://slimages.macys.com/is/image/MCY/9457889 </v>
      </c>
    </row>
    <row r="605" spans="1:14" ht="48" x14ac:dyDescent="0.25">
      <c r="A605" s="12" t="s">
        <v>1710</v>
      </c>
      <c r="B605" s="8" t="s">
        <v>1711</v>
      </c>
      <c r="C605" s="9">
        <v>1</v>
      </c>
      <c r="D605" s="10">
        <v>2.5</v>
      </c>
      <c r="E605" s="10">
        <v>4.99</v>
      </c>
      <c r="F605" s="9" t="s">
        <v>1712</v>
      </c>
      <c r="G605" s="8"/>
      <c r="H605" s="12"/>
      <c r="I605" s="10">
        <v>1.346153846153846</v>
      </c>
      <c r="J605" s="8" t="s">
        <v>262</v>
      </c>
      <c r="K605" s="8" t="s">
        <v>1274</v>
      </c>
      <c r="L605" s="8" t="s">
        <v>31</v>
      </c>
      <c r="M605" s="8" t="s">
        <v>1276</v>
      </c>
      <c r="N605" s="13" t="str">
        <f>HYPERLINK("http://slimages.macys.com/is/image/MCY/3322537 ")</f>
        <v xml:space="preserve">http://slimages.macys.com/is/image/MCY/3322537 </v>
      </c>
    </row>
    <row r="606" spans="1:14" ht="48" x14ac:dyDescent="0.25">
      <c r="A606" s="12" t="s">
        <v>1713</v>
      </c>
      <c r="B606" s="8" t="s">
        <v>1714</v>
      </c>
      <c r="C606" s="9">
        <v>17</v>
      </c>
      <c r="D606" s="10">
        <v>2.4</v>
      </c>
      <c r="E606" s="10">
        <v>3.99</v>
      </c>
      <c r="F606" s="9" t="s">
        <v>1715</v>
      </c>
      <c r="G606" s="8" t="s">
        <v>1716</v>
      </c>
      <c r="H606" s="12" t="s">
        <v>1717</v>
      </c>
      <c r="I606" s="10">
        <v>1.2923076923076922</v>
      </c>
      <c r="J606" s="8" t="s">
        <v>209</v>
      </c>
      <c r="K606" s="8" t="s">
        <v>1718</v>
      </c>
      <c r="L606" s="8" t="s">
        <v>31</v>
      </c>
      <c r="M606" s="8" t="s">
        <v>1104</v>
      </c>
      <c r="N606" s="13" t="str">
        <f>HYPERLINK("http://slimages.macys.com/is/image/MCY/2660294 ")</f>
        <v xml:space="preserve">http://slimages.macys.com/is/image/MCY/2660294 </v>
      </c>
    </row>
    <row r="607" spans="1:14" ht="48" x14ac:dyDescent="0.25">
      <c r="A607" s="12" t="s">
        <v>1719</v>
      </c>
      <c r="B607" s="8" t="s">
        <v>1720</v>
      </c>
      <c r="C607" s="9">
        <v>1</v>
      </c>
      <c r="D607" s="10">
        <v>2.36</v>
      </c>
      <c r="E607" s="10">
        <v>5.99</v>
      </c>
      <c r="F607" s="9">
        <v>5258796</v>
      </c>
      <c r="G607" s="8" t="s">
        <v>35</v>
      </c>
      <c r="H607" s="12" t="s">
        <v>1251</v>
      </c>
      <c r="I607" s="10">
        <v>1.2707692307692307</v>
      </c>
      <c r="J607" s="8" t="s">
        <v>254</v>
      </c>
      <c r="K607" s="8" t="s">
        <v>309</v>
      </c>
      <c r="L607" s="8" t="s">
        <v>31</v>
      </c>
      <c r="M607" s="8" t="s">
        <v>69</v>
      </c>
      <c r="N607" s="13" t="str">
        <f>HYPERLINK("http://slimages.macys.com/is/image/MCY/15176187 ")</f>
        <v xml:space="preserve">http://slimages.macys.com/is/image/MCY/15176187 </v>
      </c>
    </row>
    <row r="608" spans="1:14" ht="48" x14ac:dyDescent="0.25">
      <c r="A608" s="12" t="s">
        <v>1721</v>
      </c>
      <c r="B608" s="8" t="s">
        <v>1722</v>
      </c>
      <c r="C608" s="9">
        <v>1</v>
      </c>
      <c r="D608" s="10">
        <v>2.36</v>
      </c>
      <c r="E608" s="10">
        <v>5.99</v>
      </c>
      <c r="F608" s="9">
        <v>5246302</v>
      </c>
      <c r="G608" s="8" t="s">
        <v>35</v>
      </c>
      <c r="H608" s="12" t="s">
        <v>1251</v>
      </c>
      <c r="I608" s="10">
        <v>1.2707692307692307</v>
      </c>
      <c r="J608" s="8" t="s">
        <v>254</v>
      </c>
      <c r="K608" s="8" t="s">
        <v>309</v>
      </c>
      <c r="L608" s="8" t="s">
        <v>31</v>
      </c>
      <c r="M608" s="8" t="s">
        <v>69</v>
      </c>
      <c r="N608" s="13" t="str">
        <f>HYPERLINK("http://slimages.macys.com/is/image/MCY/15845523 ")</f>
        <v xml:space="preserve">http://slimages.macys.com/is/image/MCY/15845523 </v>
      </c>
    </row>
    <row r="609" spans="1:14" ht="48" x14ac:dyDescent="0.25">
      <c r="A609" s="12" t="s">
        <v>1723</v>
      </c>
      <c r="B609" s="8" t="s">
        <v>1724</v>
      </c>
      <c r="C609" s="9">
        <v>1</v>
      </c>
      <c r="D609" s="10">
        <v>2.1800000000000002</v>
      </c>
      <c r="E609" s="10">
        <v>5.99</v>
      </c>
      <c r="F609" s="9">
        <v>558179</v>
      </c>
      <c r="G609" s="8" t="s">
        <v>50</v>
      </c>
      <c r="H609" s="12" t="s">
        <v>46</v>
      </c>
      <c r="I609" s="10">
        <v>1.1738461538461538</v>
      </c>
      <c r="J609" s="8" t="s">
        <v>202</v>
      </c>
      <c r="K609" s="8" t="s">
        <v>379</v>
      </c>
      <c r="L609" s="8" t="s">
        <v>31</v>
      </c>
      <c r="M609" s="8" t="s">
        <v>69</v>
      </c>
      <c r="N609" s="13" t="str">
        <f>HYPERLINK("http://slimages.macys.com/is/image/MCY/14579142 ")</f>
        <v xml:space="preserve">http://slimages.macys.com/is/image/MCY/14579142 </v>
      </c>
    </row>
    <row r="610" spans="1:14" ht="48" x14ac:dyDescent="0.25">
      <c r="A610" s="12" t="s">
        <v>1725</v>
      </c>
      <c r="B610" s="8" t="s">
        <v>1726</v>
      </c>
      <c r="C610" s="9">
        <v>2</v>
      </c>
      <c r="D610" s="10">
        <v>2.0499999999999998</v>
      </c>
      <c r="E610" s="10">
        <v>4.99</v>
      </c>
      <c r="F610" s="9" t="s">
        <v>1727</v>
      </c>
      <c r="G610" s="8" t="s">
        <v>84</v>
      </c>
      <c r="H610" s="12" t="s">
        <v>1717</v>
      </c>
      <c r="I610" s="10">
        <v>1.1038461538461539</v>
      </c>
      <c r="J610" s="8" t="s">
        <v>209</v>
      </c>
      <c r="K610" s="8" t="s">
        <v>1718</v>
      </c>
      <c r="L610" s="8"/>
      <c r="M610" s="8"/>
      <c r="N610" s="13" t="str">
        <f>HYPERLINK("http://slimages.macys.com/is/image/MCY/19183643 ")</f>
        <v xml:space="preserve">http://slimages.macys.com/is/image/MCY/19183643 </v>
      </c>
    </row>
    <row r="611" spans="1:14" ht="48" x14ac:dyDescent="0.25">
      <c r="A611" s="12" t="s">
        <v>1728</v>
      </c>
      <c r="B611" s="8" t="s">
        <v>1729</v>
      </c>
      <c r="C611" s="9">
        <v>1</v>
      </c>
      <c r="D611" s="10">
        <v>2</v>
      </c>
      <c r="E611" s="10">
        <v>5.99</v>
      </c>
      <c r="F611" s="9">
        <v>5203416</v>
      </c>
      <c r="G611" s="8" t="s">
        <v>35</v>
      </c>
      <c r="H611" s="12" t="s">
        <v>1251</v>
      </c>
      <c r="I611" s="10">
        <v>1.0769230769230769</v>
      </c>
      <c r="J611" s="8" t="s">
        <v>254</v>
      </c>
      <c r="K611" s="8" t="s">
        <v>309</v>
      </c>
      <c r="L611" s="8" t="s">
        <v>31</v>
      </c>
      <c r="M611" s="8" t="s">
        <v>69</v>
      </c>
      <c r="N611" s="13" t="str">
        <f>HYPERLINK("http://slimages.macys.com/is/image/MCY/9278833 ")</f>
        <v xml:space="preserve">http://slimages.macys.com/is/image/MCY/9278833 </v>
      </c>
    </row>
    <row r="612" spans="1:14" ht="48" x14ac:dyDescent="0.25">
      <c r="A612" s="12" t="s">
        <v>1730</v>
      </c>
      <c r="B612" s="8" t="s">
        <v>1731</v>
      </c>
      <c r="C612" s="9">
        <v>1</v>
      </c>
      <c r="D612" s="10">
        <v>2</v>
      </c>
      <c r="E612" s="10">
        <v>5.99</v>
      </c>
      <c r="F612" s="9">
        <v>37308</v>
      </c>
      <c r="G612" s="8" t="s">
        <v>50</v>
      </c>
      <c r="H612" s="12" t="s">
        <v>46</v>
      </c>
      <c r="I612" s="10">
        <v>1.0769230769230769</v>
      </c>
      <c r="J612" s="8" t="s">
        <v>29</v>
      </c>
      <c r="K612" s="8" t="s">
        <v>919</v>
      </c>
      <c r="L612" s="8" t="s">
        <v>31</v>
      </c>
      <c r="M612" s="8" t="s">
        <v>80</v>
      </c>
      <c r="N612" s="13" t="str">
        <f>HYPERLINK("http://slimages.macys.com/is/image/MCY/13980974 ")</f>
        <v xml:space="preserve">http://slimages.macys.com/is/image/MCY/13980974 </v>
      </c>
    </row>
    <row r="613" spans="1:14" ht="48" x14ac:dyDescent="0.25">
      <c r="A613" s="12" t="s">
        <v>1732</v>
      </c>
      <c r="B613" s="8" t="s">
        <v>1733</v>
      </c>
      <c r="C613" s="9">
        <v>1</v>
      </c>
      <c r="D613" s="10">
        <v>1.99</v>
      </c>
      <c r="E613" s="10">
        <v>4.99</v>
      </c>
      <c r="F613" s="9" t="s">
        <v>1734</v>
      </c>
      <c r="G613" s="8" t="s">
        <v>50</v>
      </c>
      <c r="H613" s="12" t="s">
        <v>46</v>
      </c>
      <c r="I613" s="10">
        <v>1.0715384615384616</v>
      </c>
      <c r="J613" s="8" t="s">
        <v>29</v>
      </c>
      <c r="K613" s="8" t="s">
        <v>975</v>
      </c>
      <c r="L613" s="8"/>
      <c r="M613" s="8"/>
      <c r="N613" s="13" t="str">
        <f>HYPERLINK("http://slimages.macys.com/is/image/MCY/18300790 ")</f>
        <v xml:space="preserve">http://slimages.macys.com/is/image/MCY/18300790 </v>
      </c>
    </row>
    <row r="614" spans="1:14" ht="48" x14ac:dyDescent="0.25">
      <c r="A614" s="12" t="s">
        <v>1735</v>
      </c>
      <c r="B614" s="8" t="s">
        <v>1736</v>
      </c>
      <c r="C614" s="9">
        <v>2</v>
      </c>
      <c r="D614" s="10">
        <v>1.7</v>
      </c>
      <c r="E614" s="10">
        <v>5.99</v>
      </c>
      <c r="F614" s="9">
        <v>13220</v>
      </c>
      <c r="G614" s="8" t="s">
        <v>45</v>
      </c>
      <c r="H614" s="12"/>
      <c r="I614" s="10">
        <v>0.91538461538461535</v>
      </c>
      <c r="J614" s="8" t="s">
        <v>254</v>
      </c>
      <c r="K614" s="8" t="s">
        <v>1398</v>
      </c>
      <c r="L614" s="8"/>
      <c r="M614" s="8"/>
      <c r="N614" s="13" t="str">
        <f>HYPERLINK("http://slimages.macys.com/is/image/MCY/18297405 ")</f>
        <v xml:space="preserve">http://slimages.macys.com/is/image/MCY/18297405 </v>
      </c>
    </row>
    <row r="615" spans="1:14" ht="48" x14ac:dyDescent="0.25">
      <c r="A615" s="12" t="s">
        <v>1737</v>
      </c>
      <c r="B615" s="8" t="s">
        <v>1738</v>
      </c>
      <c r="C615" s="9">
        <v>4</v>
      </c>
      <c r="D615" s="10">
        <v>1.7</v>
      </c>
      <c r="E615" s="10">
        <v>5.99</v>
      </c>
      <c r="F615" s="9">
        <v>12034</v>
      </c>
      <c r="G615" s="8" t="s">
        <v>694</v>
      </c>
      <c r="H615" s="12"/>
      <c r="I615" s="10">
        <v>0.91538461538461535</v>
      </c>
      <c r="J615" s="8" t="s">
        <v>254</v>
      </c>
      <c r="K615" s="8" t="s">
        <v>1398</v>
      </c>
      <c r="L615" s="8"/>
      <c r="M615" s="8"/>
      <c r="N615" s="13" t="str">
        <f>HYPERLINK("http://slimages.macys.com/is/image/MCY/18297407 ")</f>
        <v xml:space="preserve">http://slimages.macys.com/is/image/MCY/18297407 </v>
      </c>
    </row>
    <row r="616" spans="1:14" ht="48" x14ac:dyDescent="0.25">
      <c r="A616" s="12" t="s">
        <v>1739</v>
      </c>
      <c r="B616" s="8" t="s">
        <v>1740</v>
      </c>
      <c r="C616" s="9">
        <v>11</v>
      </c>
      <c r="D616" s="10">
        <v>1.5</v>
      </c>
      <c r="E616" s="10">
        <v>3.49</v>
      </c>
      <c r="F616" s="9" t="s">
        <v>1741</v>
      </c>
      <c r="G616" s="8" t="s">
        <v>1742</v>
      </c>
      <c r="H616" s="12" t="s">
        <v>46</v>
      </c>
      <c r="I616" s="10">
        <v>0.80769230769230771</v>
      </c>
      <c r="J616" s="8" t="s">
        <v>313</v>
      </c>
      <c r="K616" s="8" t="s">
        <v>648</v>
      </c>
      <c r="L616" s="8" t="s">
        <v>31</v>
      </c>
      <c r="M616" s="8" t="s">
        <v>1176</v>
      </c>
      <c r="N616" s="13" t="str">
        <f>HYPERLINK("http://slimages.macys.com/is/image/MCY/14601056 ")</f>
        <v xml:space="preserve">http://slimages.macys.com/is/image/MCY/14601056 </v>
      </c>
    </row>
    <row r="617" spans="1:14" ht="48" x14ac:dyDescent="0.25">
      <c r="A617" s="12" t="s">
        <v>1743</v>
      </c>
      <c r="B617" s="8" t="s">
        <v>1744</v>
      </c>
      <c r="C617" s="9">
        <v>7</v>
      </c>
      <c r="D617" s="10">
        <v>1.5</v>
      </c>
      <c r="E617" s="10">
        <v>3.49</v>
      </c>
      <c r="F617" s="9" t="s">
        <v>1745</v>
      </c>
      <c r="G617" s="8" t="s">
        <v>35</v>
      </c>
      <c r="H617" s="12" t="s">
        <v>46</v>
      </c>
      <c r="I617" s="10">
        <v>0.80769230769230771</v>
      </c>
      <c r="J617" s="8" t="s">
        <v>313</v>
      </c>
      <c r="K617" s="8" t="s">
        <v>648</v>
      </c>
      <c r="L617" s="8" t="s">
        <v>31</v>
      </c>
      <c r="M617" s="8" t="s">
        <v>1176</v>
      </c>
      <c r="N617" s="13" t="str">
        <f>HYPERLINK("http://slimages.macys.com/is/image/MCY/14601073 ")</f>
        <v xml:space="preserve">http://slimages.macys.com/is/image/MCY/14601073 </v>
      </c>
    </row>
    <row r="618" spans="1:14" ht="48" x14ac:dyDescent="0.25">
      <c r="A618" s="12" t="s">
        <v>1746</v>
      </c>
      <c r="B618" s="8" t="s">
        <v>1747</v>
      </c>
      <c r="C618" s="9">
        <v>3</v>
      </c>
      <c r="D618" s="10">
        <v>1.5</v>
      </c>
      <c r="E618" s="10">
        <v>3.49</v>
      </c>
      <c r="F618" s="9" t="s">
        <v>1748</v>
      </c>
      <c r="G618" s="8" t="s">
        <v>35</v>
      </c>
      <c r="H618" s="12" t="s">
        <v>46</v>
      </c>
      <c r="I618" s="10">
        <v>0.80769230769230771</v>
      </c>
      <c r="J618" s="8" t="s">
        <v>313</v>
      </c>
      <c r="K618" s="8" t="s">
        <v>648</v>
      </c>
      <c r="L618" s="8" t="s">
        <v>31</v>
      </c>
      <c r="M618" s="8" t="s">
        <v>1176</v>
      </c>
      <c r="N618" s="13" t="str">
        <f>HYPERLINK("http://slimages.macys.com/is/image/MCY/14601063 ")</f>
        <v xml:space="preserve">http://slimages.macys.com/is/image/MCY/14601063 </v>
      </c>
    </row>
    <row r="619" spans="1:14" ht="48" x14ac:dyDescent="0.25">
      <c r="A619" s="12" t="s">
        <v>1749</v>
      </c>
      <c r="B619" s="8" t="s">
        <v>1750</v>
      </c>
      <c r="C619" s="9">
        <v>3</v>
      </c>
      <c r="D619" s="10">
        <v>1.5</v>
      </c>
      <c r="E619" s="10">
        <v>3.49</v>
      </c>
      <c r="F619" s="9" t="s">
        <v>1751</v>
      </c>
      <c r="G619" s="8" t="s">
        <v>1266</v>
      </c>
      <c r="H619" s="12" t="s">
        <v>46</v>
      </c>
      <c r="I619" s="10">
        <v>0.80769230769230771</v>
      </c>
      <c r="J619" s="8" t="s">
        <v>313</v>
      </c>
      <c r="K619" s="8" t="s">
        <v>648</v>
      </c>
      <c r="L619" s="8"/>
      <c r="M619" s="8"/>
      <c r="N619" s="13" t="str">
        <f>HYPERLINK("http://slimages.macys.com/is/image/MCY/18967577 ")</f>
        <v xml:space="preserve">http://slimages.macys.com/is/image/MCY/18967577 </v>
      </c>
    </row>
    <row r="620" spans="1:14" ht="48" x14ac:dyDescent="0.25">
      <c r="A620" s="12" t="s">
        <v>1752</v>
      </c>
      <c r="B620" s="8" t="s">
        <v>1753</v>
      </c>
      <c r="C620" s="9">
        <v>13</v>
      </c>
      <c r="D620" s="10">
        <v>1.5</v>
      </c>
      <c r="E620" s="10">
        <v>3.49</v>
      </c>
      <c r="F620" s="9" t="s">
        <v>1754</v>
      </c>
      <c r="G620" s="8" t="s">
        <v>35</v>
      </c>
      <c r="H620" s="12" t="s">
        <v>46</v>
      </c>
      <c r="I620" s="10">
        <v>0.80769230769230771</v>
      </c>
      <c r="J620" s="8" t="s">
        <v>313</v>
      </c>
      <c r="K620" s="8" t="s">
        <v>648</v>
      </c>
      <c r="L620" s="8" t="s">
        <v>31</v>
      </c>
      <c r="M620" s="8" t="s">
        <v>1176</v>
      </c>
      <c r="N620" s="13" t="str">
        <f>HYPERLINK("http://slimages.macys.com/is/image/MCY/14602988 ")</f>
        <v xml:space="preserve">http://slimages.macys.com/is/image/MCY/14602988 </v>
      </c>
    </row>
    <row r="621" spans="1:14" ht="48" x14ac:dyDescent="0.25">
      <c r="A621" s="12" t="s">
        <v>1755</v>
      </c>
      <c r="B621" s="8" t="s">
        <v>1756</v>
      </c>
      <c r="C621" s="9">
        <v>1</v>
      </c>
      <c r="D621" s="10">
        <v>1.5</v>
      </c>
      <c r="E621" s="10">
        <v>3.49</v>
      </c>
      <c r="F621" s="9" t="s">
        <v>1757</v>
      </c>
      <c r="G621" s="8" t="s">
        <v>1581</v>
      </c>
      <c r="H621" s="12" t="s">
        <v>46</v>
      </c>
      <c r="I621" s="10">
        <v>0.80769230769230771</v>
      </c>
      <c r="J621" s="8" t="s">
        <v>313</v>
      </c>
      <c r="K621" s="8" t="s">
        <v>648</v>
      </c>
      <c r="L621" s="8" t="s">
        <v>31</v>
      </c>
      <c r="M621" s="8" t="s">
        <v>1176</v>
      </c>
      <c r="N621" s="13" t="str">
        <f>HYPERLINK("http://slimages.macys.com/is/image/MCY/16058975 ")</f>
        <v xml:space="preserve">http://slimages.macys.com/is/image/MCY/16058975 </v>
      </c>
    </row>
    <row r="622" spans="1:14" ht="48" x14ac:dyDescent="0.25">
      <c r="A622" s="12" t="s">
        <v>1758</v>
      </c>
      <c r="B622" s="8" t="s">
        <v>1759</v>
      </c>
      <c r="C622" s="9">
        <v>1</v>
      </c>
      <c r="D622" s="10">
        <v>1.5</v>
      </c>
      <c r="E622" s="10">
        <v>3.49</v>
      </c>
      <c r="F622" s="9" t="s">
        <v>1760</v>
      </c>
      <c r="G622" s="8" t="s">
        <v>681</v>
      </c>
      <c r="H622" s="12" t="s">
        <v>46</v>
      </c>
      <c r="I622" s="10">
        <v>0.80769230769230771</v>
      </c>
      <c r="J622" s="8" t="s">
        <v>313</v>
      </c>
      <c r="K622" s="8" t="s">
        <v>648</v>
      </c>
      <c r="L622" s="8"/>
      <c r="M622" s="8"/>
      <c r="N622" s="13" t="str">
        <f>HYPERLINK("http://slimages.macys.com/is/image/MCY/18967571 ")</f>
        <v xml:space="preserve">http://slimages.macys.com/is/image/MCY/18967571 </v>
      </c>
    </row>
    <row r="623" spans="1:14" ht="48" x14ac:dyDescent="0.25">
      <c r="A623" s="12" t="s">
        <v>1761</v>
      </c>
      <c r="B623" s="8" t="s">
        <v>1762</v>
      </c>
      <c r="C623" s="9">
        <v>12</v>
      </c>
      <c r="D623" s="10">
        <v>1.5</v>
      </c>
      <c r="E623" s="10">
        <v>3.49</v>
      </c>
      <c r="F623" s="9" t="s">
        <v>1763</v>
      </c>
      <c r="G623" s="8" t="s">
        <v>35</v>
      </c>
      <c r="H623" s="12" t="s">
        <v>46</v>
      </c>
      <c r="I623" s="10">
        <v>0.80769230769230771</v>
      </c>
      <c r="J623" s="8" t="s">
        <v>313</v>
      </c>
      <c r="K623" s="8" t="s">
        <v>648</v>
      </c>
      <c r="L623" s="8" t="s">
        <v>31</v>
      </c>
      <c r="M623" s="8" t="s">
        <v>1176</v>
      </c>
      <c r="N623" s="13" t="str">
        <f>HYPERLINK("http://slimages.macys.com/is/image/MCY/14601069 ")</f>
        <v xml:space="preserve">http://slimages.macys.com/is/image/MCY/14601069 </v>
      </c>
    </row>
    <row r="624" spans="1:14" ht="48" x14ac:dyDescent="0.25">
      <c r="A624" s="12" t="s">
        <v>1764</v>
      </c>
      <c r="B624" s="8" t="s">
        <v>1765</v>
      </c>
      <c r="C624" s="9">
        <v>12</v>
      </c>
      <c r="D624" s="10">
        <v>1.5</v>
      </c>
      <c r="E624" s="10">
        <v>3.49</v>
      </c>
      <c r="F624" s="9" t="s">
        <v>1766</v>
      </c>
      <c r="G624" s="8" t="s">
        <v>207</v>
      </c>
      <c r="H624" s="12" t="s">
        <v>46</v>
      </c>
      <c r="I624" s="10">
        <v>0.80769230769230771</v>
      </c>
      <c r="J624" s="8" t="s">
        <v>313</v>
      </c>
      <c r="K624" s="8" t="s">
        <v>648</v>
      </c>
      <c r="L624" s="8"/>
      <c r="M624" s="8"/>
      <c r="N624" s="13" t="str">
        <f>HYPERLINK("http://slimages.macys.com/is/image/MCY/18967570 ")</f>
        <v xml:space="preserve">http://slimages.macys.com/is/image/MCY/18967570 </v>
      </c>
    </row>
    <row r="625" spans="1:14" ht="48" x14ac:dyDescent="0.25">
      <c r="A625" s="12" t="s">
        <v>1767</v>
      </c>
      <c r="B625" s="8" t="s">
        <v>1768</v>
      </c>
      <c r="C625" s="9">
        <v>6</v>
      </c>
      <c r="D625" s="10">
        <v>1.5</v>
      </c>
      <c r="E625" s="10">
        <v>3.49</v>
      </c>
      <c r="F625" s="9" t="s">
        <v>1769</v>
      </c>
      <c r="G625" s="8" t="s">
        <v>681</v>
      </c>
      <c r="H625" s="12" t="s">
        <v>46</v>
      </c>
      <c r="I625" s="10">
        <v>0.80769230769230771</v>
      </c>
      <c r="J625" s="8" t="s">
        <v>313</v>
      </c>
      <c r="K625" s="8" t="s">
        <v>648</v>
      </c>
      <c r="L625" s="8"/>
      <c r="M625" s="8"/>
      <c r="N625" s="13" t="str">
        <f>HYPERLINK("http://slimages.macys.com/is/image/MCY/18967575 ")</f>
        <v xml:space="preserve">http://slimages.macys.com/is/image/MCY/18967575 </v>
      </c>
    </row>
    <row r="626" spans="1:14" ht="48" x14ac:dyDescent="0.25">
      <c r="A626" s="12" t="s">
        <v>1770</v>
      </c>
      <c r="B626" s="8" t="s">
        <v>1771</v>
      </c>
      <c r="C626" s="9">
        <v>12</v>
      </c>
      <c r="D626" s="10">
        <v>1.5</v>
      </c>
      <c r="E626" s="10">
        <v>3.49</v>
      </c>
      <c r="F626" s="9" t="s">
        <v>1772</v>
      </c>
      <c r="G626" s="8" t="s">
        <v>35</v>
      </c>
      <c r="H626" s="12" t="s">
        <v>46</v>
      </c>
      <c r="I626" s="10">
        <v>0.80769230769230771</v>
      </c>
      <c r="J626" s="8" t="s">
        <v>313</v>
      </c>
      <c r="K626" s="8" t="s">
        <v>648</v>
      </c>
      <c r="L626" s="8"/>
      <c r="M626" s="8"/>
      <c r="N626" s="13" t="str">
        <f>HYPERLINK("http://slimages.macys.com/is/image/MCY/18967563 ")</f>
        <v xml:space="preserve">http://slimages.macys.com/is/image/MCY/18967563 </v>
      </c>
    </row>
    <row r="627" spans="1:14" ht="48" x14ac:dyDescent="0.25">
      <c r="A627" s="12" t="s">
        <v>1773</v>
      </c>
      <c r="B627" s="8" t="s">
        <v>1774</v>
      </c>
      <c r="C627" s="9">
        <v>12</v>
      </c>
      <c r="D627" s="10">
        <v>1.5</v>
      </c>
      <c r="E627" s="10">
        <v>3.49</v>
      </c>
      <c r="F627" s="9" t="s">
        <v>1775</v>
      </c>
      <c r="G627" s="8" t="s">
        <v>1776</v>
      </c>
      <c r="H627" s="12" t="s">
        <v>46</v>
      </c>
      <c r="I627" s="10">
        <v>0.80769230769230771</v>
      </c>
      <c r="J627" s="8" t="s">
        <v>313</v>
      </c>
      <c r="K627" s="8" t="s">
        <v>648</v>
      </c>
      <c r="L627" s="8"/>
      <c r="M627" s="8"/>
      <c r="N627" s="13" t="str">
        <f>HYPERLINK("http://slimages.macys.com/is/image/MCY/18967572 ")</f>
        <v xml:space="preserve">http://slimages.macys.com/is/image/MCY/18967572 </v>
      </c>
    </row>
    <row r="628" spans="1:14" ht="48" x14ac:dyDescent="0.25">
      <c r="A628" s="12" t="s">
        <v>1777</v>
      </c>
      <c r="B628" s="8" t="s">
        <v>1778</v>
      </c>
      <c r="C628" s="9">
        <v>12</v>
      </c>
      <c r="D628" s="10">
        <v>1.5</v>
      </c>
      <c r="E628" s="10">
        <v>3.49</v>
      </c>
      <c r="F628" s="9" t="s">
        <v>1779</v>
      </c>
      <c r="G628" s="8" t="s">
        <v>1581</v>
      </c>
      <c r="H628" s="12" t="s">
        <v>46</v>
      </c>
      <c r="I628" s="10">
        <v>0.80769230769230771</v>
      </c>
      <c r="J628" s="8" t="s">
        <v>313</v>
      </c>
      <c r="K628" s="8" t="s">
        <v>648</v>
      </c>
      <c r="L628" s="8"/>
      <c r="M628" s="8"/>
      <c r="N628" s="13" t="str">
        <f>HYPERLINK("http://slimages.macys.com/is/image/MCY/18967564 ")</f>
        <v xml:space="preserve">http://slimages.macys.com/is/image/MCY/18967564 </v>
      </c>
    </row>
    <row r="629" spans="1:14" ht="48" x14ac:dyDescent="0.25">
      <c r="A629" s="12" t="s">
        <v>1758</v>
      </c>
      <c r="B629" s="8" t="s">
        <v>1759</v>
      </c>
      <c r="C629" s="9">
        <v>6</v>
      </c>
      <c r="D629" s="10">
        <v>1.5</v>
      </c>
      <c r="E629" s="10">
        <v>3.49</v>
      </c>
      <c r="F629" s="9" t="s">
        <v>1760</v>
      </c>
      <c r="G629" s="8" t="s">
        <v>681</v>
      </c>
      <c r="H629" s="12" t="s">
        <v>46</v>
      </c>
      <c r="I629" s="10">
        <v>0.80769230769230771</v>
      </c>
      <c r="J629" s="8" t="s">
        <v>313</v>
      </c>
      <c r="K629" s="8" t="s">
        <v>648</v>
      </c>
      <c r="L629" s="8"/>
      <c r="M629" s="8"/>
      <c r="N629" s="13" t="str">
        <f>HYPERLINK("http://slimages.macys.com/is/image/MCY/18967571 ")</f>
        <v xml:space="preserve">http://slimages.macys.com/is/image/MCY/18967571 </v>
      </c>
    </row>
    <row r="630" spans="1:14" ht="48" x14ac:dyDescent="0.25">
      <c r="A630" s="12" t="s">
        <v>1780</v>
      </c>
      <c r="B630" s="8" t="s">
        <v>1781</v>
      </c>
      <c r="C630" s="9">
        <v>3</v>
      </c>
      <c r="D630" s="10">
        <v>1.5</v>
      </c>
      <c r="E630" s="10">
        <v>3.49</v>
      </c>
      <c r="F630" s="9" t="s">
        <v>1782</v>
      </c>
      <c r="G630" s="8" t="s">
        <v>1107</v>
      </c>
      <c r="H630" s="12" t="s">
        <v>46</v>
      </c>
      <c r="I630" s="10">
        <v>0.80769230769230771</v>
      </c>
      <c r="J630" s="8" t="s">
        <v>313</v>
      </c>
      <c r="K630" s="8" t="s">
        <v>648</v>
      </c>
      <c r="L630" s="8" t="s">
        <v>31</v>
      </c>
      <c r="M630" s="8" t="s">
        <v>1176</v>
      </c>
      <c r="N630" s="13" t="str">
        <f>HYPERLINK("http://slimages.macys.com/is/image/MCY/14601049 ")</f>
        <v xml:space="preserve">http://slimages.macys.com/is/image/MCY/14601049 </v>
      </c>
    </row>
    <row r="631" spans="1:14" ht="48" x14ac:dyDescent="0.25">
      <c r="A631" s="12" t="s">
        <v>1783</v>
      </c>
      <c r="B631" s="8" t="s">
        <v>1784</v>
      </c>
      <c r="C631" s="9">
        <v>8</v>
      </c>
      <c r="D631" s="10">
        <v>1.5</v>
      </c>
      <c r="E631" s="10">
        <v>3.49</v>
      </c>
      <c r="F631" s="9" t="s">
        <v>1785</v>
      </c>
      <c r="G631" s="8" t="s">
        <v>35</v>
      </c>
      <c r="H631" s="12" t="s">
        <v>46</v>
      </c>
      <c r="I631" s="10">
        <v>0.80769230769230771</v>
      </c>
      <c r="J631" s="8" t="s">
        <v>313</v>
      </c>
      <c r="K631" s="8" t="s">
        <v>648</v>
      </c>
      <c r="L631" s="8" t="s">
        <v>31</v>
      </c>
      <c r="M631" s="8" t="s">
        <v>1176</v>
      </c>
      <c r="N631" s="13" t="str">
        <f>HYPERLINK("http://slimages.macys.com/is/image/MCY/14601058 ")</f>
        <v xml:space="preserve">http://slimages.macys.com/is/image/MCY/14601058 </v>
      </c>
    </row>
    <row r="632" spans="1:14" ht="48" x14ac:dyDescent="0.25">
      <c r="A632" s="12" t="s">
        <v>1786</v>
      </c>
      <c r="B632" s="8" t="s">
        <v>1787</v>
      </c>
      <c r="C632" s="9">
        <v>1</v>
      </c>
      <c r="D632" s="10">
        <v>1.5</v>
      </c>
      <c r="E632" s="10">
        <v>3.49</v>
      </c>
      <c r="F632" s="9" t="s">
        <v>1788</v>
      </c>
      <c r="G632" s="8" t="s">
        <v>694</v>
      </c>
      <c r="H632" s="12" t="s">
        <v>46</v>
      </c>
      <c r="I632" s="10">
        <v>0.80769230769230771</v>
      </c>
      <c r="J632" s="8" t="s">
        <v>313</v>
      </c>
      <c r="K632" s="8" t="s">
        <v>648</v>
      </c>
      <c r="L632" s="8"/>
      <c r="M632" s="8" t="s">
        <v>1176</v>
      </c>
      <c r="N632" s="13" t="str">
        <f>HYPERLINK("http://slimages.macys.com/is/image/MCY/16471901 ")</f>
        <v xml:space="preserve">http://slimages.macys.com/is/image/MCY/16471901 </v>
      </c>
    </row>
    <row r="633" spans="1:14" ht="48" x14ac:dyDescent="0.25">
      <c r="A633" s="12" t="s">
        <v>1789</v>
      </c>
      <c r="B633" s="8" t="s">
        <v>1790</v>
      </c>
      <c r="C633" s="9">
        <v>2</v>
      </c>
      <c r="D633" s="10">
        <v>1.5</v>
      </c>
      <c r="E633" s="10">
        <v>3.49</v>
      </c>
      <c r="F633" s="9" t="s">
        <v>1791</v>
      </c>
      <c r="G633" s="8" t="s">
        <v>35</v>
      </c>
      <c r="H633" s="12" t="s">
        <v>46</v>
      </c>
      <c r="I633" s="10">
        <v>0.80769230769230771</v>
      </c>
      <c r="J633" s="8" t="s">
        <v>313</v>
      </c>
      <c r="K633" s="8" t="s">
        <v>648</v>
      </c>
      <c r="L633" s="8" t="s">
        <v>31</v>
      </c>
      <c r="M633" s="8" t="s">
        <v>1176</v>
      </c>
      <c r="N633" s="13" t="str">
        <f>HYPERLINK("http://slimages.macys.com/is/image/MCY/14601038 ")</f>
        <v xml:space="preserve">http://slimages.macys.com/is/image/MCY/14601038 </v>
      </c>
    </row>
    <row r="634" spans="1:14" ht="48" x14ac:dyDescent="0.25">
      <c r="A634" s="12" t="s">
        <v>1749</v>
      </c>
      <c r="B634" s="8" t="s">
        <v>1750</v>
      </c>
      <c r="C634" s="9">
        <v>3</v>
      </c>
      <c r="D634" s="10">
        <v>1.5</v>
      </c>
      <c r="E634" s="10">
        <v>3.49</v>
      </c>
      <c r="F634" s="9" t="s">
        <v>1751</v>
      </c>
      <c r="G634" s="8" t="s">
        <v>1266</v>
      </c>
      <c r="H634" s="12" t="s">
        <v>46</v>
      </c>
      <c r="I634" s="10">
        <v>0.80769230769230771</v>
      </c>
      <c r="J634" s="8" t="s">
        <v>313</v>
      </c>
      <c r="K634" s="8" t="s">
        <v>648</v>
      </c>
      <c r="L634" s="8"/>
      <c r="M634" s="8"/>
      <c r="N634" s="13" t="str">
        <f>HYPERLINK("http://slimages.macys.com/is/image/MCY/18967577 ")</f>
        <v xml:space="preserve">http://slimages.macys.com/is/image/MCY/18967577 </v>
      </c>
    </row>
    <row r="635" spans="1:14" ht="48" x14ac:dyDescent="0.25">
      <c r="A635" s="12" t="s">
        <v>1752</v>
      </c>
      <c r="B635" s="8" t="s">
        <v>1753</v>
      </c>
      <c r="C635" s="9">
        <v>13</v>
      </c>
      <c r="D635" s="10">
        <v>1.5</v>
      </c>
      <c r="E635" s="10">
        <v>3.49</v>
      </c>
      <c r="F635" s="9" t="s">
        <v>1754</v>
      </c>
      <c r="G635" s="8" t="s">
        <v>35</v>
      </c>
      <c r="H635" s="12" t="s">
        <v>46</v>
      </c>
      <c r="I635" s="10">
        <v>0.80769230769230771</v>
      </c>
      <c r="J635" s="8" t="s">
        <v>313</v>
      </c>
      <c r="K635" s="8" t="s">
        <v>648</v>
      </c>
      <c r="L635" s="8" t="s">
        <v>31</v>
      </c>
      <c r="M635" s="8" t="s">
        <v>1176</v>
      </c>
      <c r="N635" s="13" t="str">
        <f>HYPERLINK("http://slimages.macys.com/is/image/MCY/14602988 ")</f>
        <v xml:space="preserve">http://slimages.macys.com/is/image/MCY/14602988 </v>
      </c>
    </row>
    <row r="636" spans="1:14" ht="48" x14ac:dyDescent="0.25">
      <c r="A636" s="12" t="s">
        <v>1773</v>
      </c>
      <c r="B636" s="8" t="s">
        <v>1774</v>
      </c>
      <c r="C636" s="9">
        <v>6</v>
      </c>
      <c r="D636" s="10">
        <v>1.5</v>
      </c>
      <c r="E636" s="10">
        <v>3.49</v>
      </c>
      <c r="F636" s="9" t="s">
        <v>1775</v>
      </c>
      <c r="G636" s="8" t="s">
        <v>1776</v>
      </c>
      <c r="H636" s="12" t="s">
        <v>46</v>
      </c>
      <c r="I636" s="10">
        <v>0.80769230769230771</v>
      </c>
      <c r="J636" s="8" t="s">
        <v>313</v>
      </c>
      <c r="K636" s="8" t="s">
        <v>648</v>
      </c>
      <c r="L636" s="8"/>
      <c r="M636" s="8"/>
      <c r="N636" s="13" t="str">
        <f>HYPERLINK("http://slimages.macys.com/is/image/MCY/18967572 ")</f>
        <v xml:space="preserve">http://slimages.macys.com/is/image/MCY/18967572 </v>
      </c>
    </row>
    <row r="637" spans="1:14" ht="48" x14ac:dyDescent="0.25">
      <c r="A637" s="12" t="s">
        <v>1792</v>
      </c>
      <c r="B637" s="8" t="s">
        <v>1793</v>
      </c>
      <c r="C637" s="9">
        <v>2</v>
      </c>
      <c r="D637" s="10">
        <v>1.5</v>
      </c>
      <c r="E637" s="10">
        <v>3.49</v>
      </c>
      <c r="F637" s="9" t="s">
        <v>1794</v>
      </c>
      <c r="G637" s="8" t="s">
        <v>35</v>
      </c>
      <c r="H637" s="12" t="s">
        <v>46</v>
      </c>
      <c r="I637" s="10">
        <v>0.80769230769230771</v>
      </c>
      <c r="J637" s="8" t="s">
        <v>313</v>
      </c>
      <c r="K637" s="8" t="s">
        <v>648</v>
      </c>
      <c r="L637" s="8" t="s">
        <v>31</v>
      </c>
      <c r="M637" s="8" t="s">
        <v>1176</v>
      </c>
      <c r="N637" s="13" t="str">
        <f>HYPERLINK("http://slimages.macys.com/is/image/MCY/14603062 ")</f>
        <v xml:space="preserve">http://slimages.macys.com/is/image/MCY/14603062 </v>
      </c>
    </row>
    <row r="638" spans="1:14" ht="48" x14ac:dyDescent="0.25">
      <c r="A638" s="12" t="s">
        <v>1761</v>
      </c>
      <c r="B638" s="8" t="s">
        <v>1762</v>
      </c>
      <c r="C638" s="9">
        <v>2</v>
      </c>
      <c r="D638" s="10">
        <v>1.5</v>
      </c>
      <c r="E638" s="10">
        <v>3.49</v>
      </c>
      <c r="F638" s="9" t="s">
        <v>1763</v>
      </c>
      <c r="G638" s="8" t="s">
        <v>35</v>
      </c>
      <c r="H638" s="12" t="s">
        <v>46</v>
      </c>
      <c r="I638" s="10">
        <v>0.80769230769230771</v>
      </c>
      <c r="J638" s="8" t="s">
        <v>313</v>
      </c>
      <c r="K638" s="8" t="s">
        <v>648</v>
      </c>
      <c r="L638" s="8" t="s">
        <v>31</v>
      </c>
      <c r="M638" s="8" t="s">
        <v>1176</v>
      </c>
      <c r="N638" s="13" t="str">
        <f>HYPERLINK("http://slimages.macys.com/is/image/MCY/14601069 ")</f>
        <v xml:space="preserve">http://slimages.macys.com/is/image/MCY/14601069 </v>
      </c>
    </row>
    <row r="639" spans="1:14" ht="48" x14ac:dyDescent="0.25">
      <c r="A639" s="12" t="s">
        <v>1770</v>
      </c>
      <c r="B639" s="8" t="s">
        <v>1771</v>
      </c>
      <c r="C639" s="9">
        <v>2</v>
      </c>
      <c r="D639" s="10">
        <v>1.5</v>
      </c>
      <c r="E639" s="10">
        <v>3.49</v>
      </c>
      <c r="F639" s="9" t="s">
        <v>1772</v>
      </c>
      <c r="G639" s="8" t="s">
        <v>35</v>
      </c>
      <c r="H639" s="12" t="s">
        <v>46</v>
      </c>
      <c r="I639" s="10">
        <v>0.80769230769230771</v>
      </c>
      <c r="J639" s="8" t="s">
        <v>313</v>
      </c>
      <c r="K639" s="8" t="s">
        <v>648</v>
      </c>
      <c r="L639" s="8"/>
      <c r="M639" s="8"/>
      <c r="N639" s="13" t="str">
        <f>HYPERLINK("http://slimages.macys.com/is/image/MCY/18967563 ")</f>
        <v xml:space="preserve">http://slimages.macys.com/is/image/MCY/18967563 </v>
      </c>
    </row>
    <row r="640" spans="1:14" ht="48" x14ac:dyDescent="0.25">
      <c r="A640" s="12" t="s">
        <v>1795</v>
      </c>
      <c r="B640" s="8" t="s">
        <v>1796</v>
      </c>
      <c r="C640" s="9">
        <v>12</v>
      </c>
      <c r="D640" s="10">
        <v>1.5</v>
      </c>
      <c r="E640" s="10">
        <v>3.49</v>
      </c>
      <c r="F640" s="9" t="s">
        <v>1797</v>
      </c>
      <c r="G640" s="8"/>
      <c r="H640" s="12" t="s">
        <v>46</v>
      </c>
      <c r="I640" s="10">
        <v>0.80769230769230771</v>
      </c>
      <c r="J640" s="8" t="s">
        <v>313</v>
      </c>
      <c r="K640" s="8" t="s">
        <v>648</v>
      </c>
      <c r="L640" s="8" t="s">
        <v>31</v>
      </c>
      <c r="M640" s="8" t="s">
        <v>1176</v>
      </c>
      <c r="N640" s="13" t="str">
        <f>HYPERLINK("http://slimages.macys.com/is/image/MCY/14601059 ")</f>
        <v xml:space="preserve">http://slimages.macys.com/is/image/MCY/14601059 </v>
      </c>
    </row>
    <row r="641" spans="1:14" ht="48" x14ac:dyDescent="0.25">
      <c r="A641" s="12" t="s">
        <v>1798</v>
      </c>
      <c r="B641" s="8" t="s">
        <v>1799</v>
      </c>
      <c r="C641" s="9">
        <v>1</v>
      </c>
      <c r="D641" s="10">
        <v>1.5</v>
      </c>
      <c r="E641" s="10">
        <v>3.49</v>
      </c>
      <c r="F641" s="9" t="s">
        <v>1800</v>
      </c>
      <c r="G641" s="8" t="s">
        <v>1231</v>
      </c>
      <c r="H641" s="12" t="s">
        <v>46</v>
      </c>
      <c r="I641" s="10">
        <v>0.80769230769230771</v>
      </c>
      <c r="J641" s="8" t="s">
        <v>313</v>
      </c>
      <c r="K641" s="8" t="s">
        <v>648</v>
      </c>
      <c r="L641" s="8"/>
      <c r="M641" s="8" t="s">
        <v>1176</v>
      </c>
      <c r="N641" s="13" t="str">
        <f>HYPERLINK("http://slimages.macys.com/is/image/MCY/16471903 ")</f>
        <v xml:space="preserve">http://slimages.macys.com/is/image/MCY/16471903 </v>
      </c>
    </row>
    <row r="642" spans="1:14" ht="48" x14ac:dyDescent="0.25">
      <c r="A642" s="12" t="s">
        <v>1801</v>
      </c>
      <c r="B642" s="8" t="s">
        <v>1802</v>
      </c>
      <c r="C642" s="9">
        <v>1</v>
      </c>
      <c r="D642" s="10">
        <v>1.5</v>
      </c>
      <c r="E642" s="10">
        <v>3.49</v>
      </c>
      <c r="F642" s="9" t="s">
        <v>1803</v>
      </c>
      <c r="G642" s="8" t="s">
        <v>35</v>
      </c>
      <c r="H642" s="12" t="s">
        <v>46</v>
      </c>
      <c r="I642" s="10">
        <v>0.80769230769230771</v>
      </c>
      <c r="J642" s="8" t="s">
        <v>313</v>
      </c>
      <c r="K642" s="8" t="s">
        <v>648</v>
      </c>
      <c r="L642" s="8" t="s">
        <v>31</v>
      </c>
      <c r="M642" s="8" t="s">
        <v>1176</v>
      </c>
      <c r="N642" s="13" t="str">
        <f>HYPERLINK("http://slimages.macys.com/is/image/MCY/14601060 ")</f>
        <v xml:space="preserve">http://slimages.macys.com/is/image/MCY/14601060 </v>
      </c>
    </row>
    <row r="643" spans="1:14" ht="48" x14ac:dyDescent="0.25">
      <c r="A643" s="12" t="s">
        <v>1761</v>
      </c>
      <c r="B643" s="8" t="s">
        <v>1762</v>
      </c>
      <c r="C643" s="9">
        <v>6</v>
      </c>
      <c r="D643" s="10">
        <v>1.5</v>
      </c>
      <c r="E643" s="10">
        <v>3.49</v>
      </c>
      <c r="F643" s="9" t="s">
        <v>1763</v>
      </c>
      <c r="G643" s="8" t="s">
        <v>35</v>
      </c>
      <c r="H643" s="12" t="s">
        <v>46</v>
      </c>
      <c r="I643" s="10">
        <v>0.80769230769230771</v>
      </c>
      <c r="J643" s="8" t="s">
        <v>313</v>
      </c>
      <c r="K643" s="8" t="s">
        <v>648</v>
      </c>
      <c r="L643" s="8" t="s">
        <v>31</v>
      </c>
      <c r="M643" s="8" t="s">
        <v>1176</v>
      </c>
      <c r="N643" s="13" t="str">
        <f>HYPERLINK("http://slimages.macys.com/is/image/MCY/14601069 ")</f>
        <v xml:space="preserve">http://slimages.macys.com/is/image/MCY/14601069 </v>
      </c>
    </row>
    <row r="644" spans="1:14" ht="48" x14ac:dyDescent="0.25">
      <c r="A644" s="12" t="s">
        <v>1804</v>
      </c>
      <c r="B644" s="8" t="s">
        <v>1805</v>
      </c>
      <c r="C644" s="9">
        <v>7</v>
      </c>
      <c r="D644" s="10">
        <v>1.5</v>
      </c>
      <c r="E644" s="10">
        <v>3.49</v>
      </c>
      <c r="F644" s="9" t="s">
        <v>1806</v>
      </c>
      <c r="G644" s="8" t="s">
        <v>1807</v>
      </c>
      <c r="H644" s="12" t="s">
        <v>46</v>
      </c>
      <c r="I644" s="10">
        <v>0.80769230769230771</v>
      </c>
      <c r="J644" s="8" t="s">
        <v>313</v>
      </c>
      <c r="K644" s="8" t="s">
        <v>648</v>
      </c>
      <c r="L644" s="8" t="s">
        <v>31</v>
      </c>
      <c r="M644" s="8" t="s">
        <v>1176</v>
      </c>
      <c r="N644" s="13" t="str">
        <f>HYPERLINK("http://slimages.macys.com/is/image/MCY/14601032 ")</f>
        <v xml:space="preserve">http://slimages.macys.com/is/image/MCY/14601032 </v>
      </c>
    </row>
    <row r="645" spans="1:14" ht="48" x14ac:dyDescent="0.25">
      <c r="A645" s="12" t="s">
        <v>1808</v>
      </c>
      <c r="B645" s="8" t="s">
        <v>1809</v>
      </c>
      <c r="C645" s="9">
        <v>6</v>
      </c>
      <c r="D645" s="10">
        <v>1.5</v>
      </c>
      <c r="E645" s="10">
        <v>3.49</v>
      </c>
      <c r="F645" s="9" t="s">
        <v>1810</v>
      </c>
      <c r="G645" s="8" t="s">
        <v>35</v>
      </c>
      <c r="H645" s="12" t="s">
        <v>46</v>
      </c>
      <c r="I645" s="10">
        <v>0.80769230769230771</v>
      </c>
      <c r="J645" s="8" t="s">
        <v>313</v>
      </c>
      <c r="K645" s="8" t="s">
        <v>648</v>
      </c>
      <c r="L645" s="8"/>
      <c r="M645" s="8"/>
      <c r="N645" s="13" t="str">
        <f>HYPERLINK("http://slimages.macys.com/is/image/MCY/16813579 ")</f>
        <v xml:space="preserve">http://slimages.macys.com/is/image/MCY/16813579 </v>
      </c>
    </row>
    <row r="646" spans="1:14" ht="48" x14ac:dyDescent="0.25">
      <c r="A646" s="12" t="s">
        <v>1792</v>
      </c>
      <c r="B646" s="8" t="s">
        <v>1793</v>
      </c>
      <c r="C646" s="9">
        <v>3</v>
      </c>
      <c r="D646" s="10">
        <v>1.5</v>
      </c>
      <c r="E646" s="10">
        <v>3.49</v>
      </c>
      <c r="F646" s="9" t="s">
        <v>1794</v>
      </c>
      <c r="G646" s="8" t="s">
        <v>35</v>
      </c>
      <c r="H646" s="12" t="s">
        <v>46</v>
      </c>
      <c r="I646" s="10">
        <v>0.80769230769230771</v>
      </c>
      <c r="J646" s="8" t="s">
        <v>313</v>
      </c>
      <c r="K646" s="8" t="s">
        <v>648</v>
      </c>
      <c r="L646" s="8" t="s">
        <v>31</v>
      </c>
      <c r="M646" s="8" t="s">
        <v>1176</v>
      </c>
      <c r="N646" s="13" t="str">
        <f>HYPERLINK("http://slimages.macys.com/is/image/MCY/14603062 ")</f>
        <v xml:space="preserve">http://slimages.macys.com/is/image/MCY/14603062 </v>
      </c>
    </row>
    <row r="647" spans="1:14" ht="48" x14ac:dyDescent="0.25">
      <c r="A647" s="12" t="s">
        <v>1789</v>
      </c>
      <c r="B647" s="8" t="s">
        <v>1790</v>
      </c>
      <c r="C647" s="9">
        <v>6</v>
      </c>
      <c r="D647" s="10">
        <v>1.5</v>
      </c>
      <c r="E647" s="10">
        <v>3.49</v>
      </c>
      <c r="F647" s="9" t="s">
        <v>1791</v>
      </c>
      <c r="G647" s="8" t="s">
        <v>35</v>
      </c>
      <c r="H647" s="12" t="s">
        <v>46</v>
      </c>
      <c r="I647" s="10">
        <v>0.80769230769230771</v>
      </c>
      <c r="J647" s="8" t="s">
        <v>313</v>
      </c>
      <c r="K647" s="8" t="s">
        <v>648</v>
      </c>
      <c r="L647" s="8" t="s">
        <v>31</v>
      </c>
      <c r="M647" s="8" t="s">
        <v>1176</v>
      </c>
      <c r="N647" s="13" t="str">
        <f>HYPERLINK("http://slimages.macys.com/is/image/MCY/14601038 ")</f>
        <v xml:space="preserve">http://slimages.macys.com/is/image/MCY/14601038 </v>
      </c>
    </row>
    <row r="648" spans="1:14" ht="48" x14ac:dyDescent="0.25">
      <c r="A648" s="12" t="s">
        <v>1783</v>
      </c>
      <c r="B648" s="8" t="s">
        <v>1784</v>
      </c>
      <c r="C648" s="9">
        <v>11</v>
      </c>
      <c r="D648" s="10">
        <v>1.5</v>
      </c>
      <c r="E648" s="10">
        <v>3.49</v>
      </c>
      <c r="F648" s="9" t="s">
        <v>1785</v>
      </c>
      <c r="G648" s="8" t="s">
        <v>35</v>
      </c>
      <c r="H648" s="12" t="s">
        <v>46</v>
      </c>
      <c r="I648" s="10">
        <v>0.80769230769230771</v>
      </c>
      <c r="J648" s="8" t="s">
        <v>313</v>
      </c>
      <c r="K648" s="8" t="s">
        <v>648</v>
      </c>
      <c r="L648" s="8" t="s">
        <v>31</v>
      </c>
      <c r="M648" s="8" t="s">
        <v>1176</v>
      </c>
      <c r="N648" s="13" t="str">
        <f>HYPERLINK("http://slimages.macys.com/is/image/MCY/14601058 ")</f>
        <v xml:space="preserve">http://slimages.macys.com/is/image/MCY/14601058 </v>
      </c>
    </row>
    <row r="649" spans="1:14" ht="48" x14ac:dyDescent="0.25">
      <c r="A649" s="12" t="s">
        <v>1811</v>
      </c>
      <c r="B649" s="8" t="s">
        <v>1812</v>
      </c>
      <c r="C649" s="9">
        <v>14</v>
      </c>
      <c r="D649" s="10">
        <v>1.5</v>
      </c>
      <c r="E649" s="10">
        <v>3.49</v>
      </c>
      <c r="F649" s="9" t="s">
        <v>1813</v>
      </c>
      <c r="G649" s="8" t="s">
        <v>35</v>
      </c>
      <c r="H649" s="12" t="s">
        <v>46</v>
      </c>
      <c r="I649" s="10">
        <v>0.80769230769230771</v>
      </c>
      <c r="J649" s="8" t="s">
        <v>313</v>
      </c>
      <c r="K649" s="8" t="s">
        <v>648</v>
      </c>
      <c r="L649" s="8"/>
      <c r="M649" s="8"/>
      <c r="N649" s="13" t="str">
        <f>HYPERLINK("http://slimages.macys.com/is/image/MCY/18967566 ")</f>
        <v xml:space="preserve">http://slimages.macys.com/is/image/MCY/18967566 </v>
      </c>
    </row>
    <row r="650" spans="1:14" ht="48" x14ac:dyDescent="0.25">
      <c r="A650" s="12" t="s">
        <v>1814</v>
      </c>
      <c r="B650" s="8" t="s">
        <v>1815</v>
      </c>
      <c r="C650" s="9">
        <v>4</v>
      </c>
      <c r="D650" s="10">
        <v>1.5</v>
      </c>
      <c r="E650" s="10">
        <v>3.49</v>
      </c>
      <c r="F650" s="9" t="s">
        <v>1816</v>
      </c>
      <c r="G650" s="8" t="s">
        <v>58</v>
      </c>
      <c r="H650" s="12" t="s">
        <v>46</v>
      </c>
      <c r="I650" s="10">
        <v>0.80769230769230771</v>
      </c>
      <c r="J650" s="8" t="s">
        <v>313</v>
      </c>
      <c r="K650" s="8" t="s">
        <v>648</v>
      </c>
      <c r="L650" s="8"/>
      <c r="M650" s="8"/>
      <c r="N650" s="13" t="str">
        <f>HYPERLINK("http://slimages.macys.com/is/image/MCY/18967574 ")</f>
        <v xml:space="preserve">http://slimages.macys.com/is/image/MCY/18967574 </v>
      </c>
    </row>
    <row r="651" spans="1:14" ht="48" x14ac:dyDescent="0.25">
      <c r="A651" s="12" t="s">
        <v>1817</v>
      </c>
      <c r="B651" s="8" t="s">
        <v>1818</v>
      </c>
      <c r="C651" s="9">
        <v>1</v>
      </c>
      <c r="D651" s="10">
        <v>1.5</v>
      </c>
      <c r="E651" s="10">
        <v>3.49</v>
      </c>
      <c r="F651" s="9" t="s">
        <v>1819</v>
      </c>
      <c r="G651" s="8" t="s">
        <v>1107</v>
      </c>
      <c r="H651" s="12" t="s">
        <v>46</v>
      </c>
      <c r="I651" s="10">
        <v>0.80769230769230771</v>
      </c>
      <c r="J651" s="8" t="s">
        <v>313</v>
      </c>
      <c r="K651" s="8" t="s">
        <v>648</v>
      </c>
      <c r="L651" s="8"/>
      <c r="M651" s="8"/>
      <c r="N651" s="13" t="str">
        <f>HYPERLINK("http://slimages.macys.com/is/image/MCY/18967576 ")</f>
        <v xml:space="preserve">http://slimages.macys.com/is/image/MCY/18967576 </v>
      </c>
    </row>
    <row r="652" spans="1:14" ht="48" x14ac:dyDescent="0.25">
      <c r="A652" s="12" t="s">
        <v>1789</v>
      </c>
      <c r="B652" s="8" t="s">
        <v>1790</v>
      </c>
      <c r="C652" s="9">
        <v>9</v>
      </c>
      <c r="D652" s="10">
        <v>1.5</v>
      </c>
      <c r="E652" s="10">
        <v>3.49</v>
      </c>
      <c r="F652" s="9" t="s">
        <v>1791</v>
      </c>
      <c r="G652" s="8" t="s">
        <v>35</v>
      </c>
      <c r="H652" s="12" t="s">
        <v>46</v>
      </c>
      <c r="I652" s="10">
        <v>0.80769230769230771</v>
      </c>
      <c r="J652" s="8" t="s">
        <v>313</v>
      </c>
      <c r="K652" s="8" t="s">
        <v>648</v>
      </c>
      <c r="L652" s="8" t="s">
        <v>31</v>
      </c>
      <c r="M652" s="8" t="s">
        <v>1176</v>
      </c>
      <c r="N652" s="13" t="str">
        <f>HYPERLINK("http://slimages.macys.com/is/image/MCY/14601038 ")</f>
        <v xml:space="preserve">http://slimages.macys.com/is/image/MCY/14601038 </v>
      </c>
    </row>
    <row r="653" spans="1:14" ht="48" x14ac:dyDescent="0.25">
      <c r="A653" s="12" t="s">
        <v>1820</v>
      </c>
      <c r="B653" s="8" t="s">
        <v>1821</v>
      </c>
      <c r="C653" s="9">
        <v>7</v>
      </c>
      <c r="D653" s="10">
        <v>1.5</v>
      </c>
      <c r="E653" s="10">
        <v>3.49</v>
      </c>
      <c r="F653" s="9" t="s">
        <v>1822</v>
      </c>
      <c r="G653" s="8" t="s">
        <v>374</v>
      </c>
      <c r="H653" s="12" t="s">
        <v>46</v>
      </c>
      <c r="I653" s="10">
        <v>0.80769230769230771</v>
      </c>
      <c r="J653" s="8" t="s">
        <v>313</v>
      </c>
      <c r="K653" s="8" t="s">
        <v>648</v>
      </c>
      <c r="L653" s="8" t="s">
        <v>31</v>
      </c>
      <c r="M653" s="8" t="s">
        <v>1176</v>
      </c>
      <c r="N653" s="13" t="str">
        <f>HYPERLINK("http://slimages.macys.com/is/image/MCY/14601071 ")</f>
        <v xml:space="preserve">http://slimages.macys.com/is/image/MCY/14601071 </v>
      </c>
    </row>
    <row r="654" spans="1:14" ht="48" x14ac:dyDescent="0.25">
      <c r="A654" s="12" t="s">
        <v>1804</v>
      </c>
      <c r="B654" s="8" t="s">
        <v>1805</v>
      </c>
      <c r="C654" s="9">
        <v>18</v>
      </c>
      <c r="D654" s="10">
        <v>1.5</v>
      </c>
      <c r="E654" s="10">
        <v>3.49</v>
      </c>
      <c r="F654" s="9" t="s">
        <v>1806</v>
      </c>
      <c r="G654" s="8" t="s">
        <v>1807</v>
      </c>
      <c r="H654" s="12" t="s">
        <v>46</v>
      </c>
      <c r="I654" s="10">
        <v>0.80769230769230771</v>
      </c>
      <c r="J654" s="8" t="s">
        <v>313</v>
      </c>
      <c r="K654" s="8" t="s">
        <v>648</v>
      </c>
      <c r="L654" s="8" t="s">
        <v>31</v>
      </c>
      <c r="M654" s="8" t="s">
        <v>1176</v>
      </c>
      <c r="N654" s="13" t="str">
        <f>HYPERLINK("http://slimages.macys.com/is/image/MCY/14601032 ")</f>
        <v xml:space="preserve">http://slimages.macys.com/is/image/MCY/14601032 </v>
      </c>
    </row>
    <row r="655" spans="1:14" ht="48" x14ac:dyDescent="0.25">
      <c r="A655" s="12" t="s">
        <v>1739</v>
      </c>
      <c r="B655" s="8" t="s">
        <v>1740</v>
      </c>
      <c r="C655" s="9">
        <v>9</v>
      </c>
      <c r="D655" s="10">
        <v>1.5</v>
      </c>
      <c r="E655" s="10">
        <v>3.49</v>
      </c>
      <c r="F655" s="9" t="s">
        <v>1741</v>
      </c>
      <c r="G655" s="8" t="s">
        <v>1742</v>
      </c>
      <c r="H655" s="12" t="s">
        <v>46</v>
      </c>
      <c r="I655" s="10">
        <v>0.80769230769230771</v>
      </c>
      <c r="J655" s="8" t="s">
        <v>313</v>
      </c>
      <c r="K655" s="8" t="s">
        <v>648</v>
      </c>
      <c r="L655" s="8" t="s">
        <v>31</v>
      </c>
      <c r="M655" s="8" t="s">
        <v>1176</v>
      </c>
      <c r="N655" s="13" t="str">
        <f>HYPERLINK("http://slimages.macys.com/is/image/MCY/14601056 ")</f>
        <v xml:space="preserve">http://slimages.macys.com/is/image/MCY/14601056 </v>
      </c>
    </row>
    <row r="656" spans="1:14" ht="48" x14ac:dyDescent="0.25">
      <c r="A656" s="12" t="s">
        <v>1783</v>
      </c>
      <c r="B656" s="8" t="s">
        <v>1784</v>
      </c>
      <c r="C656" s="9">
        <v>1</v>
      </c>
      <c r="D656" s="10">
        <v>1.5</v>
      </c>
      <c r="E656" s="10">
        <v>3.49</v>
      </c>
      <c r="F656" s="9" t="s">
        <v>1785</v>
      </c>
      <c r="G656" s="8" t="s">
        <v>35</v>
      </c>
      <c r="H656" s="12" t="s">
        <v>46</v>
      </c>
      <c r="I656" s="10">
        <v>0.80769230769230771</v>
      </c>
      <c r="J656" s="8" t="s">
        <v>313</v>
      </c>
      <c r="K656" s="8" t="s">
        <v>648</v>
      </c>
      <c r="L656" s="8" t="s">
        <v>31</v>
      </c>
      <c r="M656" s="8" t="s">
        <v>1176</v>
      </c>
      <c r="N656" s="13" t="str">
        <f>HYPERLINK("http://slimages.macys.com/is/image/MCY/14601058 ")</f>
        <v xml:space="preserve">http://slimages.macys.com/is/image/MCY/14601058 </v>
      </c>
    </row>
    <row r="657" spans="1:14" ht="48" x14ac:dyDescent="0.25">
      <c r="A657" s="12" t="s">
        <v>1823</v>
      </c>
      <c r="B657" s="8" t="s">
        <v>1824</v>
      </c>
      <c r="C657" s="9">
        <v>3</v>
      </c>
      <c r="D657" s="10">
        <v>1.5</v>
      </c>
      <c r="E657" s="10">
        <v>3.49</v>
      </c>
      <c r="F657" s="9" t="s">
        <v>1825</v>
      </c>
      <c r="G657" s="8" t="s">
        <v>35</v>
      </c>
      <c r="H657" s="12" t="s">
        <v>46</v>
      </c>
      <c r="I657" s="10">
        <v>0.80769230769230771</v>
      </c>
      <c r="J657" s="8" t="s">
        <v>313</v>
      </c>
      <c r="K657" s="8" t="s">
        <v>648</v>
      </c>
      <c r="L657" s="8" t="s">
        <v>31</v>
      </c>
      <c r="M657" s="8" t="s">
        <v>1176</v>
      </c>
      <c r="N657" s="13" t="str">
        <f>HYPERLINK("http://slimages.macys.com/is/image/MCY/14601068 ")</f>
        <v xml:space="preserve">http://slimages.macys.com/is/image/MCY/14601068 </v>
      </c>
    </row>
    <row r="658" spans="1:14" ht="48" x14ac:dyDescent="0.25">
      <c r="A658" s="12" t="s">
        <v>1780</v>
      </c>
      <c r="B658" s="8" t="s">
        <v>1781</v>
      </c>
      <c r="C658" s="9">
        <v>7</v>
      </c>
      <c r="D658" s="10">
        <v>1.5</v>
      </c>
      <c r="E658" s="10">
        <v>3.49</v>
      </c>
      <c r="F658" s="9" t="s">
        <v>1782</v>
      </c>
      <c r="G658" s="8" t="s">
        <v>1107</v>
      </c>
      <c r="H658" s="12" t="s">
        <v>46</v>
      </c>
      <c r="I658" s="10">
        <v>0.80769230769230771</v>
      </c>
      <c r="J658" s="8" t="s">
        <v>313</v>
      </c>
      <c r="K658" s="8" t="s">
        <v>648</v>
      </c>
      <c r="L658" s="8" t="s">
        <v>31</v>
      </c>
      <c r="M658" s="8" t="s">
        <v>1176</v>
      </c>
      <c r="N658" s="13" t="str">
        <f>HYPERLINK("http://slimages.macys.com/is/image/MCY/14601049 ")</f>
        <v xml:space="preserve">http://slimages.macys.com/is/image/MCY/14601049 </v>
      </c>
    </row>
    <row r="659" spans="1:14" ht="48" x14ac:dyDescent="0.25">
      <c r="A659" s="12" t="s">
        <v>1767</v>
      </c>
      <c r="B659" s="8" t="s">
        <v>1768</v>
      </c>
      <c r="C659" s="9">
        <v>5</v>
      </c>
      <c r="D659" s="10">
        <v>1.5</v>
      </c>
      <c r="E659" s="10">
        <v>3.49</v>
      </c>
      <c r="F659" s="9" t="s">
        <v>1769</v>
      </c>
      <c r="G659" s="8" t="s">
        <v>681</v>
      </c>
      <c r="H659" s="12" t="s">
        <v>46</v>
      </c>
      <c r="I659" s="10">
        <v>0.80769230769230771</v>
      </c>
      <c r="J659" s="8" t="s">
        <v>313</v>
      </c>
      <c r="K659" s="8" t="s">
        <v>648</v>
      </c>
      <c r="L659" s="8"/>
      <c r="M659" s="8"/>
      <c r="N659" s="13" t="str">
        <f>HYPERLINK("http://slimages.macys.com/is/image/MCY/18967575 ")</f>
        <v xml:space="preserve">http://slimages.macys.com/is/image/MCY/18967575 </v>
      </c>
    </row>
    <row r="660" spans="1:14" ht="48" x14ac:dyDescent="0.25">
      <c r="A660" s="12" t="s">
        <v>1811</v>
      </c>
      <c r="B660" s="8" t="s">
        <v>1812</v>
      </c>
      <c r="C660" s="9">
        <v>10</v>
      </c>
      <c r="D660" s="10">
        <v>1.5</v>
      </c>
      <c r="E660" s="10">
        <v>3.49</v>
      </c>
      <c r="F660" s="9" t="s">
        <v>1813</v>
      </c>
      <c r="G660" s="8" t="s">
        <v>35</v>
      </c>
      <c r="H660" s="12" t="s">
        <v>46</v>
      </c>
      <c r="I660" s="10">
        <v>0.80769230769230771</v>
      </c>
      <c r="J660" s="8" t="s">
        <v>313</v>
      </c>
      <c r="K660" s="8" t="s">
        <v>648</v>
      </c>
      <c r="L660" s="8"/>
      <c r="M660" s="8"/>
      <c r="N660" s="13" t="str">
        <f>HYPERLINK("http://slimages.macys.com/is/image/MCY/18967566 ")</f>
        <v xml:space="preserve">http://slimages.macys.com/is/image/MCY/18967566 </v>
      </c>
    </row>
    <row r="661" spans="1:14" ht="48" x14ac:dyDescent="0.25">
      <c r="A661" s="12" t="s">
        <v>1814</v>
      </c>
      <c r="B661" s="8" t="s">
        <v>1815</v>
      </c>
      <c r="C661" s="9">
        <v>14</v>
      </c>
      <c r="D661" s="10">
        <v>1.5</v>
      </c>
      <c r="E661" s="10">
        <v>3.49</v>
      </c>
      <c r="F661" s="9" t="s">
        <v>1816</v>
      </c>
      <c r="G661" s="8" t="s">
        <v>58</v>
      </c>
      <c r="H661" s="12" t="s">
        <v>46</v>
      </c>
      <c r="I661" s="10">
        <v>0.80769230769230771</v>
      </c>
      <c r="J661" s="8" t="s">
        <v>313</v>
      </c>
      <c r="K661" s="8" t="s">
        <v>648</v>
      </c>
      <c r="L661" s="8"/>
      <c r="M661" s="8"/>
      <c r="N661" s="13" t="str">
        <f>HYPERLINK("http://slimages.macys.com/is/image/MCY/18967574 ")</f>
        <v xml:space="preserve">http://slimages.macys.com/is/image/MCY/18967574 </v>
      </c>
    </row>
    <row r="662" spans="1:14" ht="48" x14ac:dyDescent="0.25">
      <c r="A662" s="12" t="s">
        <v>1826</v>
      </c>
      <c r="B662" s="8" t="s">
        <v>1827</v>
      </c>
      <c r="C662" s="9">
        <v>6</v>
      </c>
      <c r="D662" s="10">
        <v>1.5</v>
      </c>
      <c r="E662" s="10">
        <v>3.49</v>
      </c>
      <c r="F662" s="9" t="s">
        <v>1828</v>
      </c>
      <c r="G662" s="8" t="s">
        <v>35</v>
      </c>
      <c r="H662" s="12" t="s">
        <v>46</v>
      </c>
      <c r="I662" s="10">
        <v>0.80769230769230771</v>
      </c>
      <c r="J662" s="8" t="s">
        <v>313</v>
      </c>
      <c r="K662" s="8" t="s">
        <v>648</v>
      </c>
      <c r="L662" s="8" t="s">
        <v>31</v>
      </c>
      <c r="M662" s="8" t="s">
        <v>1176</v>
      </c>
      <c r="N662" s="13" t="str">
        <f>HYPERLINK("http://slimages.macys.com/is/image/MCY/14601067 ")</f>
        <v xml:space="preserve">http://slimages.macys.com/is/image/MCY/14601067 </v>
      </c>
    </row>
    <row r="663" spans="1:14" ht="48" x14ac:dyDescent="0.25">
      <c r="A663" s="12" t="s">
        <v>1789</v>
      </c>
      <c r="B663" s="8" t="s">
        <v>1790</v>
      </c>
      <c r="C663" s="9">
        <v>2</v>
      </c>
      <c r="D663" s="10">
        <v>1.5</v>
      </c>
      <c r="E663" s="10">
        <v>3.49</v>
      </c>
      <c r="F663" s="9" t="s">
        <v>1791</v>
      </c>
      <c r="G663" s="8" t="s">
        <v>35</v>
      </c>
      <c r="H663" s="12" t="s">
        <v>46</v>
      </c>
      <c r="I663" s="10">
        <v>0.80769230769230771</v>
      </c>
      <c r="J663" s="8" t="s">
        <v>313</v>
      </c>
      <c r="K663" s="8" t="s">
        <v>648</v>
      </c>
      <c r="L663" s="8" t="s">
        <v>31</v>
      </c>
      <c r="M663" s="8" t="s">
        <v>1176</v>
      </c>
      <c r="N663" s="13" t="str">
        <f>HYPERLINK("http://slimages.macys.com/is/image/MCY/14601038 ")</f>
        <v xml:space="preserve">http://slimages.macys.com/is/image/MCY/14601038 </v>
      </c>
    </row>
    <row r="664" spans="1:14" ht="48" x14ac:dyDescent="0.25">
      <c r="A664" s="12" t="s">
        <v>1758</v>
      </c>
      <c r="B664" s="8" t="s">
        <v>1759</v>
      </c>
      <c r="C664" s="9">
        <v>5</v>
      </c>
      <c r="D664" s="10">
        <v>1.5</v>
      </c>
      <c r="E664" s="10">
        <v>3.49</v>
      </c>
      <c r="F664" s="9" t="s">
        <v>1760</v>
      </c>
      <c r="G664" s="8" t="s">
        <v>681</v>
      </c>
      <c r="H664" s="12" t="s">
        <v>46</v>
      </c>
      <c r="I664" s="10">
        <v>0.80769230769230771</v>
      </c>
      <c r="J664" s="8" t="s">
        <v>313</v>
      </c>
      <c r="K664" s="8" t="s">
        <v>648</v>
      </c>
      <c r="L664" s="8"/>
      <c r="M664" s="8"/>
      <c r="N664" s="13" t="str">
        <f>HYPERLINK("http://slimages.macys.com/is/image/MCY/18967571 ")</f>
        <v xml:space="preserve">http://slimages.macys.com/is/image/MCY/18967571 </v>
      </c>
    </row>
    <row r="665" spans="1:14" ht="48" x14ac:dyDescent="0.25">
      <c r="A665" s="12" t="s">
        <v>1829</v>
      </c>
      <c r="B665" s="8" t="s">
        <v>1830</v>
      </c>
      <c r="C665" s="9">
        <v>16</v>
      </c>
      <c r="D665" s="10">
        <v>1.5</v>
      </c>
      <c r="E665" s="10">
        <v>3.49</v>
      </c>
      <c r="F665" s="9" t="s">
        <v>1831</v>
      </c>
      <c r="G665" s="8" t="s">
        <v>1832</v>
      </c>
      <c r="H665" s="12" t="s">
        <v>46</v>
      </c>
      <c r="I665" s="10">
        <v>0.80769230769230771</v>
      </c>
      <c r="J665" s="8" t="s">
        <v>313</v>
      </c>
      <c r="K665" s="8" t="s">
        <v>648</v>
      </c>
      <c r="L665" s="8"/>
      <c r="M665" s="8"/>
      <c r="N665" s="13" t="str">
        <f>HYPERLINK("http://slimages.macys.com/is/image/MCY/18967565 ")</f>
        <v xml:space="preserve">http://slimages.macys.com/is/image/MCY/18967565 </v>
      </c>
    </row>
    <row r="666" spans="1:14" ht="48" x14ac:dyDescent="0.25">
      <c r="A666" s="12" t="s">
        <v>1783</v>
      </c>
      <c r="B666" s="8" t="s">
        <v>1784</v>
      </c>
      <c r="C666" s="9">
        <v>13</v>
      </c>
      <c r="D666" s="10">
        <v>1.5</v>
      </c>
      <c r="E666" s="10">
        <v>3.49</v>
      </c>
      <c r="F666" s="9" t="s">
        <v>1785</v>
      </c>
      <c r="G666" s="8" t="s">
        <v>35</v>
      </c>
      <c r="H666" s="12" t="s">
        <v>46</v>
      </c>
      <c r="I666" s="10">
        <v>0.80769230769230771</v>
      </c>
      <c r="J666" s="8" t="s">
        <v>313</v>
      </c>
      <c r="K666" s="8" t="s">
        <v>648</v>
      </c>
      <c r="L666" s="8" t="s">
        <v>31</v>
      </c>
      <c r="M666" s="8" t="s">
        <v>1176</v>
      </c>
      <c r="N666" s="13" t="str">
        <f>HYPERLINK("http://slimages.macys.com/is/image/MCY/14601058 ")</f>
        <v xml:space="preserve">http://slimages.macys.com/is/image/MCY/14601058 </v>
      </c>
    </row>
    <row r="667" spans="1:14" ht="48" x14ac:dyDescent="0.25">
      <c r="A667" s="12" t="s">
        <v>1817</v>
      </c>
      <c r="B667" s="8" t="s">
        <v>1818</v>
      </c>
      <c r="C667" s="9">
        <v>15</v>
      </c>
      <c r="D667" s="10">
        <v>1.5</v>
      </c>
      <c r="E667" s="10">
        <v>3.49</v>
      </c>
      <c r="F667" s="9" t="s">
        <v>1819</v>
      </c>
      <c r="G667" s="8" t="s">
        <v>1107</v>
      </c>
      <c r="H667" s="12" t="s">
        <v>46</v>
      </c>
      <c r="I667" s="10">
        <v>0.80769230769230771</v>
      </c>
      <c r="J667" s="8" t="s">
        <v>313</v>
      </c>
      <c r="K667" s="8" t="s">
        <v>648</v>
      </c>
      <c r="L667" s="8"/>
      <c r="M667" s="8"/>
      <c r="N667" s="13" t="str">
        <f>HYPERLINK("http://slimages.macys.com/is/image/MCY/18967576 ")</f>
        <v xml:space="preserve">http://slimages.macys.com/is/image/MCY/18967576 </v>
      </c>
    </row>
    <row r="668" spans="1:14" ht="48" x14ac:dyDescent="0.25">
      <c r="A668" s="12" t="s">
        <v>1749</v>
      </c>
      <c r="B668" s="8" t="s">
        <v>1750</v>
      </c>
      <c r="C668" s="9">
        <v>6</v>
      </c>
      <c r="D668" s="10">
        <v>1.5</v>
      </c>
      <c r="E668" s="10">
        <v>3.49</v>
      </c>
      <c r="F668" s="9" t="s">
        <v>1751</v>
      </c>
      <c r="G668" s="8" t="s">
        <v>1266</v>
      </c>
      <c r="H668" s="12" t="s">
        <v>46</v>
      </c>
      <c r="I668" s="10">
        <v>0.80769230769230771</v>
      </c>
      <c r="J668" s="8" t="s">
        <v>313</v>
      </c>
      <c r="K668" s="8" t="s">
        <v>648</v>
      </c>
      <c r="L668" s="8"/>
      <c r="M668" s="8"/>
      <c r="N668" s="13" t="str">
        <f>HYPERLINK("http://slimages.macys.com/is/image/MCY/18967577 ")</f>
        <v xml:space="preserve">http://slimages.macys.com/is/image/MCY/18967577 </v>
      </c>
    </row>
    <row r="669" spans="1:14" ht="48" x14ac:dyDescent="0.25">
      <c r="A669" s="12" t="s">
        <v>1833</v>
      </c>
      <c r="B669" s="8" t="s">
        <v>1834</v>
      </c>
      <c r="C669" s="9">
        <v>10</v>
      </c>
      <c r="D669" s="10">
        <v>1.5</v>
      </c>
      <c r="E669" s="10">
        <v>3.49</v>
      </c>
      <c r="F669" s="9" t="s">
        <v>1835</v>
      </c>
      <c r="G669" s="8" t="s">
        <v>1287</v>
      </c>
      <c r="H669" s="12" t="s">
        <v>46</v>
      </c>
      <c r="I669" s="10">
        <v>0.80769230769230771</v>
      </c>
      <c r="J669" s="8" t="s">
        <v>313</v>
      </c>
      <c r="K669" s="8" t="s">
        <v>648</v>
      </c>
      <c r="L669" s="8"/>
      <c r="M669" s="8"/>
      <c r="N669" s="13" t="str">
        <f>HYPERLINK("http://slimages.macys.com/is/image/MCY/18967569 ")</f>
        <v xml:space="preserve">http://slimages.macys.com/is/image/MCY/18967569 </v>
      </c>
    </row>
    <row r="670" spans="1:14" ht="48" x14ac:dyDescent="0.25">
      <c r="A670" s="12" t="s">
        <v>1739</v>
      </c>
      <c r="B670" s="8" t="s">
        <v>1740</v>
      </c>
      <c r="C670" s="9">
        <v>15</v>
      </c>
      <c r="D670" s="10">
        <v>1.5</v>
      </c>
      <c r="E670" s="10">
        <v>3.49</v>
      </c>
      <c r="F670" s="9" t="s">
        <v>1741</v>
      </c>
      <c r="G670" s="8" t="s">
        <v>1742</v>
      </c>
      <c r="H670" s="12" t="s">
        <v>46</v>
      </c>
      <c r="I670" s="10">
        <v>0.80769230769230771</v>
      </c>
      <c r="J670" s="8" t="s">
        <v>313</v>
      </c>
      <c r="K670" s="8" t="s">
        <v>648</v>
      </c>
      <c r="L670" s="8" t="s">
        <v>31</v>
      </c>
      <c r="M670" s="8" t="s">
        <v>1176</v>
      </c>
      <c r="N670" s="13" t="str">
        <f>HYPERLINK("http://slimages.macys.com/is/image/MCY/14601056 ")</f>
        <v xml:space="preserve">http://slimages.macys.com/is/image/MCY/14601056 </v>
      </c>
    </row>
    <row r="671" spans="1:14" ht="48" x14ac:dyDescent="0.25">
      <c r="A671" s="12" t="s">
        <v>1836</v>
      </c>
      <c r="B671" s="8" t="s">
        <v>1837</v>
      </c>
      <c r="C671" s="9">
        <v>4</v>
      </c>
      <c r="D671" s="10">
        <v>1.5</v>
      </c>
      <c r="E671" s="10">
        <v>3.49</v>
      </c>
      <c r="F671" s="9" t="s">
        <v>1838</v>
      </c>
      <c r="G671" s="8" t="s">
        <v>35</v>
      </c>
      <c r="H671" s="12" t="s">
        <v>46</v>
      </c>
      <c r="I671" s="10">
        <v>0.80769230769230771</v>
      </c>
      <c r="J671" s="8" t="s">
        <v>313</v>
      </c>
      <c r="K671" s="8" t="s">
        <v>648</v>
      </c>
      <c r="L671" s="8"/>
      <c r="M671" s="8"/>
      <c r="N671" s="13" t="str">
        <f>HYPERLINK("http://slimages.macys.com/is/image/MCY/18967561 ")</f>
        <v xml:space="preserve">http://slimages.macys.com/is/image/MCY/18967561 </v>
      </c>
    </row>
    <row r="672" spans="1:14" ht="48" x14ac:dyDescent="0.25">
      <c r="A672" s="12" t="s">
        <v>1839</v>
      </c>
      <c r="B672" s="8" t="s">
        <v>1840</v>
      </c>
      <c r="C672" s="9">
        <v>12</v>
      </c>
      <c r="D672" s="10">
        <v>1.5</v>
      </c>
      <c r="E672" s="10">
        <v>3.49</v>
      </c>
      <c r="F672" s="9" t="s">
        <v>1841</v>
      </c>
      <c r="G672" s="8" t="s">
        <v>1842</v>
      </c>
      <c r="H672" s="12" t="s">
        <v>46</v>
      </c>
      <c r="I672" s="10">
        <v>0.80769230769230771</v>
      </c>
      <c r="J672" s="8" t="s">
        <v>313</v>
      </c>
      <c r="K672" s="8" t="s">
        <v>648</v>
      </c>
      <c r="L672" s="8"/>
      <c r="M672" s="8"/>
      <c r="N672" s="13" t="str">
        <f>HYPERLINK("http://slimages.macys.com/is/image/MCY/18967562 ")</f>
        <v xml:space="preserve">http://slimages.macys.com/is/image/MCY/18967562 </v>
      </c>
    </row>
    <row r="673" spans="1:14" ht="48" x14ac:dyDescent="0.25">
      <c r="A673" s="12" t="s">
        <v>1755</v>
      </c>
      <c r="B673" s="8" t="s">
        <v>1756</v>
      </c>
      <c r="C673" s="9">
        <v>6</v>
      </c>
      <c r="D673" s="10">
        <v>1.5</v>
      </c>
      <c r="E673" s="10">
        <v>3.49</v>
      </c>
      <c r="F673" s="9" t="s">
        <v>1757</v>
      </c>
      <c r="G673" s="8" t="s">
        <v>1581</v>
      </c>
      <c r="H673" s="12" t="s">
        <v>46</v>
      </c>
      <c r="I673" s="10">
        <v>0.80769230769230771</v>
      </c>
      <c r="J673" s="8" t="s">
        <v>313</v>
      </c>
      <c r="K673" s="8" t="s">
        <v>648</v>
      </c>
      <c r="L673" s="8" t="s">
        <v>31</v>
      </c>
      <c r="M673" s="8" t="s">
        <v>1176</v>
      </c>
      <c r="N673" s="13" t="str">
        <f>HYPERLINK("http://slimages.macys.com/is/image/MCY/16058975 ")</f>
        <v xml:space="preserve">http://slimages.macys.com/is/image/MCY/16058975 </v>
      </c>
    </row>
    <row r="674" spans="1:14" ht="48" x14ac:dyDescent="0.25">
      <c r="A674" s="12" t="s">
        <v>1836</v>
      </c>
      <c r="B674" s="8" t="s">
        <v>1837</v>
      </c>
      <c r="C674" s="9">
        <v>2</v>
      </c>
      <c r="D674" s="10">
        <v>1.5</v>
      </c>
      <c r="E674" s="10">
        <v>3.49</v>
      </c>
      <c r="F674" s="9" t="s">
        <v>1838</v>
      </c>
      <c r="G674" s="8" t="s">
        <v>35</v>
      </c>
      <c r="H674" s="12" t="s">
        <v>46</v>
      </c>
      <c r="I674" s="10">
        <v>0.80769230769230771</v>
      </c>
      <c r="J674" s="8" t="s">
        <v>313</v>
      </c>
      <c r="K674" s="8" t="s">
        <v>648</v>
      </c>
      <c r="L674" s="8"/>
      <c r="M674" s="8"/>
      <c r="N674" s="13" t="str">
        <f>HYPERLINK("http://slimages.macys.com/is/image/MCY/18967561 ")</f>
        <v xml:space="preserve">http://slimages.macys.com/is/image/MCY/18967561 </v>
      </c>
    </row>
    <row r="675" spans="1:14" ht="48" x14ac:dyDescent="0.25">
      <c r="A675" s="12" t="s">
        <v>1783</v>
      </c>
      <c r="B675" s="8" t="s">
        <v>1784</v>
      </c>
      <c r="C675" s="9">
        <v>1</v>
      </c>
      <c r="D675" s="10">
        <v>1.5</v>
      </c>
      <c r="E675" s="10">
        <v>3.49</v>
      </c>
      <c r="F675" s="9" t="s">
        <v>1785</v>
      </c>
      <c r="G675" s="8" t="s">
        <v>35</v>
      </c>
      <c r="H675" s="12" t="s">
        <v>46</v>
      </c>
      <c r="I675" s="10">
        <v>0.80769230769230771</v>
      </c>
      <c r="J675" s="8" t="s">
        <v>313</v>
      </c>
      <c r="K675" s="8" t="s">
        <v>648</v>
      </c>
      <c r="L675" s="8" t="s">
        <v>31</v>
      </c>
      <c r="M675" s="8" t="s">
        <v>1176</v>
      </c>
      <c r="N675" s="13" t="str">
        <f>HYPERLINK("http://slimages.macys.com/is/image/MCY/14601058 ")</f>
        <v xml:space="preserve">http://slimages.macys.com/is/image/MCY/14601058 </v>
      </c>
    </row>
    <row r="676" spans="1:14" ht="48" x14ac:dyDescent="0.25">
      <c r="A676" s="12" t="s">
        <v>1843</v>
      </c>
      <c r="B676" s="8" t="s">
        <v>1844</v>
      </c>
      <c r="C676" s="9">
        <v>1</v>
      </c>
      <c r="D676" s="10">
        <v>1.5</v>
      </c>
      <c r="E676" s="10">
        <v>3.49</v>
      </c>
      <c r="F676" s="9" t="s">
        <v>1845</v>
      </c>
      <c r="G676" s="8" t="s">
        <v>1581</v>
      </c>
      <c r="H676" s="12" t="s">
        <v>46</v>
      </c>
      <c r="I676" s="10">
        <v>0.80769230769230771</v>
      </c>
      <c r="J676" s="8" t="s">
        <v>313</v>
      </c>
      <c r="K676" s="8" t="s">
        <v>648</v>
      </c>
      <c r="L676" s="8" t="s">
        <v>31</v>
      </c>
      <c r="M676" s="8" t="s">
        <v>1176</v>
      </c>
      <c r="N676" s="13" t="str">
        <f>HYPERLINK("http://slimages.macys.com/is/image/MCY/14601029 ")</f>
        <v xml:space="preserve">http://slimages.macys.com/is/image/MCY/14601029 </v>
      </c>
    </row>
    <row r="677" spans="1:14" ht="48" x14ac:dyDescent="0.25">
      <c r="A677" s="12" t="s">
        <v>1804</v>
      </c>
      <c r="B677" s="8" t="s">
        <v>1805</v>
      </c>
      <c r="C677" s="9">
        <v>1</v>
      </c>
      <c r="D677" s="10">
        <v>1.5</v>
      </c>
      <c r="E677" s="10">
        <v>3.49</v>
      </c>
      <c r="F677" s="9" t="s">
        <v>1806</v>
      </c>
      <c r="G677" s="8" t="s">
        <v>1807</v>
      </c>
      <c r="H677" s="12" t="s">
        <v>46</v>
      </c>
      <c r="I677" s="10">
        <v>0.80769230769230771</v>
      </c>
      <c r="J677" s="8" t="s">
        <v>313</v>
      </c>
      <c r="K677" s="8" t="s">
        <v>648</v>
      </c>
      <c r="L677" s="8" t="s">
        <v>31</v>
      </c>
      <c r="M677" s="8" t="s">
        <v>1176</v>
      </c>
      <c r="N677" s="13" t="str">
        <f>HYPERLINK("http://slimages.macys.com/is/image/MCY/14601032 ")</f>
        <v xml:space="preserve">http://slimages.macys.com/is/image/MCY/14601032 </v>
      </c>
    </row>
    <row r="678" spans="1:14" ht="48" x14ac:dyDescent="0.25">
      <c r="A678" s="12" t="s">
        <v>1792</v>
      </c>
      <c r="B678" s="8" t="s">
        <v>1793</v>
      </c>
      <c r="C678" s="9">
        <v>1</v>
      </c>
      <c r="D678" s="10">
        <v>1.5</v>
      </c>
      <c r="E678" s="10">
        <v>3.49</v>
      </c>
      <c r="F678" s="9" t="s">
        <v>1794</v>
      </c>
      <c r="G678" s="8" t="s">
        <v>35</v>
      </c>
      <c r="H678" s="12" t="s">
        <v>46</v>
      </c>
      <c r="I678" s="10">
        <v>0.80769230769230771</v>
      </c>
      <c r="J678" s="8" t="s">
        <v>313</v>
      </c>
      <c r="K678" s="8" t="s">
        <v>648</v>
      </c>
      <c r="L678" s="8" t="s">
        <v>31</v>
      </c>
      <c r="M678" s="8" t="s">
        <v>1176</v>
      </c>
      <c r="N678" s="13" t="str">
        <f>HYPERLINK("http://slimages.macys.com/is/image/MCY/14603062 ")</f>
        <v xml:space="preserve">http://slimages.macys.com/is/image/MCY/14603062 </v>
      </c>
    </row>
    <row r="679" spans="1:14" ht="48" x14ac:dyDescent="0.25">
      <c r="A679" s="12" t="s">
        <v>1798</v>
      </c>
      <c r="B679" s="8" t="s">
        <v>1799</v>
      </c>
      <c r="C679" s="9">
        <v>1</v>
      </c>
      <c r="D679" s="10">
        <v>1.5</v>
      </c>
      <c r="E679" s="10">
        <v>3.49</v>
      </c>
      <c r="F679" s="9" t="s">
        <v>1800</v>
      </c>
      <c r="G679" s="8" t="s">
        <v>1231</v>
      </c>
      <c r="H679" s="12" t="s">
        <v>46</v>
      </c>
      <c r="I679" s="10">
        <v>0.80769230769230771</v>
      </c>
      <c r="J679" s="8" t="s">
        <v>313</v>
      </c>
      <c r="K679" s="8" t="s">
        <v>648</v>
      </c>
      <c r="L679" s="8"/>
      <c r="M679" s="8" t="s">
        <v>1176</v>
      </c>
      <c r="N679" s="13" t="str">
        <f>HYPERLINK("http://slimages.macys.com/is/image/MCY/16471903 ")</f>
        <v xml:space="preserve">http://slimages.macys.com/is/image/MCY/16471903 </v>
      </c>
    </row>
    <row r="680" spans="1:14" ht="48" x14ac:dyDescent="0.25">
      <c r="A680" s="12" t="s">
        <v>1826</v>
      </c>
      <c r="B680" s="8" t="s">
        <v>1827</v>
      </c>
      <c r="C680" s="9">
        <v>7</v>
      </c>
      <c r="D680" s="10">
        <v>1.5</v>
      </c>
      <c r="E680" s="10">
        <v>3.49</v>
      </c>
      <c r="F680" s="9" t="s">
        <v>1828</v>
      </c>
      <c r="G680" s="8" t="s">
        <v>35</v>
      </c>
      <c r="H680" s="12" t="s">
        <v>46</v>
      </c>
      <c r="I680" s="10">
        <v>0.80769230769230771</v>
      </c>
      <c r="J680" s="8" t="s">
        <v>313</v>
      </c>
      <c r="K680" s="8" t="s">
        <v>648</v>
      </c>
      <c r="L680" s="8" t="s">
        <v>31</v>
      </c>
      <c r="M680" s="8" t="s">
        <v>1176</v>
      </c>
      <c r="N680" s="13" t="str">
        <f>HYPERLINK("http://slimages.macys.com/is/image/MCY/14601067 ")</f>
        <v xml:space="preserve">http://slimages.macys.com/is/image/MCY/14601067 </v>
      </c>
    </row>
    <row r="681" spans="1:14" ht="48" x14ac:dyDescent="0.25">
      <c r="A681" s="12" t="s">
        <v>1761</v>
      </c>
      <c r="B681" s="8" t="s">
        <v>1762</v>
      </c>
      <c r="C681" s="9">
        <v>11</v>
      </c>
      <c r="D681" s="10">
        <v>1.5</v>
      </c>
      <c r="E681" s="10">
        <v>3.49</v>
      </c>
      <c r="F681" s="9" t="s">
        <v>1763</v>
      </c>
      <c r="G681" s="8" t="s">
        <v>35</v>
      </c>
      <c r="H681" s="12" t="s">
        <v>46</v>
      </c>
      <c r="I681" s="10">
        <v>0.80769230769230771</v>
      </c>
      <c r="J681" s="8" t="s">
        <v>313</v>
      </c>
      <c r="K681" s="8" t="s">
        <v>648</v>
      </c>
      <c r="L681" s="8" t="s">
        <v>31</v>
      </c>
      <c r="M681" s="8" t="s">
        <v>1176</v>
      </c>
      <c r="N681" s="13" t="str">
        <f>HYPERLINK("http://slimages.macys.com/is/image/MCY/14601069 ")</f>
        <v xml:space="preserve">http://slimages.macys.com/is/image/MCY/14601069 </v>
      </c>
    </row>
    <row r="682" spans="1:14" ht="48" x14ac:dyDescent="0.25">
      <c r="A682" s="12" t="s">
        <v>1780</v>
      </c>
      <c r="B682" s="8" t="s">
        <v>1781</v>
      </c>
      <c r="C682" s="9">
        <v>18</v>
      </c>
      <c r="D682" s="10">
        <v>1.5</v>
      </c>
      <c r="E682" s="10">
        <v>3.49</v>
      </c>
      <c r="F682" s="9" t="s">
        <v>1782</v>
      </c>
      <c r="G682" s="8" t="s">
        <v>1107</v>
      </c>
      <c r="H682" s="12" t="s">
        <v>46</v>
      </c>
      <c r="I682" s="10">
        <v>0.80769230769230771</v>
      </c>
      <c r="J682" s="8" t="s">
        <v>313</v>
      </c>
      <c r="K682" s="8" t="s">
        <v>648</v>
      </c>
      <c r="L682" s="8" t="s">
        <v>31</v>
      </c>
      <c r="M682" s="8" t="s">
        <v>1176</v>
      </c>
      <c r="N682" s="13" t="str">
        <f>HYPERLINK("http://slimages.macys.com/is/image/MCY/14601049 ")</f>
        <v xml:space="preserve">http://slimages.macys.com/is/image/MCY/14601049 </v>
      </c>
    </row>
    <row r="683" spans="1:14" ht="48" x14ac:dyDescent="0.25">
      <c r="A683" s="12" t="s">
        <v>1811</v>
      </c>
      <c r="B683" s="8" t="s">
        <v>1812</v>
      </c>
      <c r="C683" s="9">
        <v>1</v>
      </c>
      <c r="D683" s="10">
        <v>1.5</v>
      </c>
      <c r="E683" s="10">
        <v>3.49</v>
      </c>
      <c r="F683" s="9" t="s">
        <v>1813</v>
      </c>
      <c r="G683" s="8" t="s">
        <v>35</v>
      </c>
      <c r="H683" s="12" t="s">
        <v>46</v>
      </c>
      <c r="I683" s="10">
        <v>0.80769230769230771</v>
      </c>
      <c r="J683" s="8" t="s">
        <v>313</v>
      </c>
      <c r="K683" s="8" t="s">
        <v>648</v>
      </c>
      <c r="L683" s="8"/>
      <c r="M683" s="8"/>
      <c r="N683" s="13" t="str">
        <f>HYPERLINK("http://slimages.macys.com/is/image/MCY/18967566 ")</f>
        <v xml:space="preserve">http://slimages.macys.com/is/image/MCY/18967566 </v>
      </c>
    </row>
    <row r="684" spans="1:14" ht="48" x14ac:dyDescent="0.25">
      <c r="A684" s="12" t="s">
        <v>1846</v>
      </c>
      <c r="B684" s="8" t="s">
        <v>1847</v>
      </c>
      <c r="C684" s="9">
        <v>2</v>
      </c>
      <c r="D684" s="10">
        <v>1.5</v>
      </c>
      <c r="E684" s="10">
        <v>3.49</v>
      </c>
      <c r="F684" s="9" t="s">
        <v>1848</v>
      </c>
      <c r="G684" s="8" t="s">
        <v>35</v>
      </c>
      <c r="H684" s="12" t="s">
        <v>46</v>
      </c>
      <c r="I684" s="10">
        <v>0.80769230769230771</v>
      </c>
      <c r="J684" s="8" t="s">
        <v>313</v>
      </c>
      <c r="K684" s="8" t="s">
        <v>648</v>
      </c>
      <c r="L684" s="8" t="s">
        <v>31</v>
      </c>
      <c r="M684" s="8" t="s">
        <v>1176</v>
      </c>
      <c r="N684" s="13" t="str">
        <f>HYPERLINK("http://slimages.macys.com/is/image/MCY/14601057 ")</f>
        <v xml:space="preserve">http://slimages.macys.com/is/image/MCY/14601057 </v>
      </c>
    </row>
    <row r="685" spans="1:14" ht="48" x14ac:dyDescent="0.25">
      <c r="A685" s="12" t="s">
        <v>1777</v>
      </c>
      <c r="B685" s="8" t="s">
        <v>1778</v>
      </c>
      <c r="C685" s="9">
        <v>5</v>
      </c>
      <c r="D685" s="10">
        <v>1.5</v>
      </c>
      <c r="E685" s="10">
        <v>3.49</v>
      </c>
      <c r="F685" s="9" t="s">
        <v>1779</v>
      </c>
      <c r="G685" s="8" t="s">
        <v>1581</v>
      </c>
      <c r="H685" s="12" t="s">
        <v>46</v>
      </c>
      <c r="I685" s="10">
        <v>0.80769230769230771</v>
      </c>
      <c r="J685" s="8" t="s">
        <v>313</v>
      </c>
      <c r="K685" s="8" t="s">
        <v>648</v>
      </c>
      <c r="L685" s="8"/>
      <c r="M685" s="8"/>
      <c r="N685" s="13" t="str">
        <f>HYPERLINK("http://slimages.macys.com/is/image/MCY/18967564 ")</f>
        <v xml:space="preserve">http://slimages.macys.com/is/image/MCY/18967564 </v>
      </c>
    </row>
    <row r="686" spans="1:14" ht="48" x14ac:dyDescent="0.25">
      <c r="A686" s="12" t="s">
        <v>1849</v>
      </c>
      <c r="B686" s="8" t="s">
        <v>1850</v>
      </c>
      <c r="C686" s="9">
        <v>1</v>
      </c>
      <c r="D686" s="10">
        <v>1.5</v>
      </c>
      <c r="E686" s="10">
        <v>3.49</v>
      </c>
      <c r="F686" s="9" t="s">
        <v>1851</v>
      </c>
      <c r="G686" s="8" t="s">
        <v>35</v>
      </c>
      <c r="H686" s="12" t="s">
        <v>46</v>
      </c>
      <c r="I686" s="10">
        <v>0.80769230769230771</v>
      </c>
      <c r="J686" s="8" t="s">
        <v>313</v>
      </c>
      <c r="K686" s="8" t="s">
        <v>648</v>
      </c>
      <c r="L686" s="8"/>
      <c r="M686" s="8" t="s">
        <v>1176</v>
      </c>
      <c r="N686" s="13" t="str">
        <f>HYPERLINK("http://slimages.macys.com/is/image/MCY/16471905 ")</f>
        <v xml:space="preserve">http://slimages.macys.com/is/image/MCY/16471905 </v>
      </c>
    </row>
    <row r="687" spans="1:14" ht="48" x14ac:dyDescent="0.25">
      <c r="A687" s="12" t="s">
        <v>1852</v>
      </c>
      <c r="B687" s="8" t="s">
        <v>1853</v>
      </c>
      <c r="C687" s="9">
        <v>3</v>
      </c>
      <c r="D687" s="10">
        <v>1.5</v>
      </c>
      <c r="E687" s="10">
        <v>3.49</v>
      </c>
      <c r="F687" s="9" t="s">
        <v>1854</v>
      </c>
      <c r="G687" s="8" t="s">
        <v>35</v>
      </c>
      <c r="H687" s="12" t="s">
        <v>46</v>
      </c>
      <c r="I687" s="10">
        <v>0.80769230769230771</v>
      </c>
      <c r="J687" s="8" t="s">
        <v>313</v>
      </c>
      <c r="K687" s="8" t="s">
        <v>648</v>
      </c>
      <c r="L687" s="8"/>
      <c r="M687" s="8" t="s">
        <v>1176</v>
      </c>
      <c r="N687" s="13" t="str">
        <f>HYPERLINK("http://slimages.macys.com/is/image/MCY/16471915 ")</f>
        <v xml:space="preserve">http://slimages.macys.com/is/image/MCY/16471915 </v>
      </c>
    </row>
    <row r="688" spans="1:14" ht="48" x14ac:dyDescent="0.25">
      <c r="A688" s="12" t="s">
        <v>1855</v>
      </c>
      <c r="B688" s="8" t="s">
        <v>1856</v>
      </c>
      <c r="C688" s="9">
        <v>1</v>
      </c>
      <c r="D688" s="10">
        <v>1.25</v>
      </c>
      <c r="E688" s="10">
        <v>3.99</v>
      </c>
      <c r="F688" s="9" t="s">
        <v>1857</v>
      </c>
      <c r="G688" s="8" t="s">
        <v>35</v>
      </c>
      <c r="H688" s="12" t="s">
        <v>46</v>
      </c>
      <c r="I688" s="10">
        <v>0.67307692307692302</v>
      </c>
      <c r="J688" s="8" t="s">
        <v>29</v>
      </c>
      <c r="K688" s="8" t="s">
        <v>618</v>
      </c>
      <c r="L688" s="8"/>
      <c r="M688" s="8"/>
      <c r="N688" s="13" t="str">
        <f>HYPERLINK("http://slimages.macys.com/is/image/MCY/18747453 ")</f>
        <v xml:space="preserve">http://slimages.macys.com/is/image/MCY/18747453 </v>
      </c>
    </row>
    <row r="689" spans="1:14" ht="48" x14ac:dyDescent="0.25">
      <c r="A689" s="12" t="s">
        <v>1858</v>
      </c>
      <c r="B689" s="8" t="s">
        <v>1859</v>
      </c>
      <c r="C689" s="9">
        <v>10</v>
      </c>
      <c r="D689" s="10">
        <v>1.25</v>
      </c>
      <c r="E689" s="10">
        <v>3.99</v>
      </c>
      <c r="F689" s="9" t="s">
        <v>1860</v>
      </c>
      <c r="G689" s="8" t="s">
        <v>67</v>
      </c>
      <c r="H689" s="12" t="s">
        <v>46</v>
      </c>
      <c r="I689" s="10">
        <v>0.67307692307692302</v>
      </c>
      <c r="J689" s="8" t="s">
        <v>29</v>
      </c>
      <c r="K689" s="8" t="s">
        <v>618</v>
      </c>
      <c r="L689" s="8"/>
      <c r="M689" s="8"/>
      <c r="N689" s="13" t="str">
        <f>HYPERLINK("http://slimages.macys.com/is/image/MCY/18747456 ")</f>
        <v xml:space="preserve">http://slimages.macys.com/is/image/MCY/18747456 </v>
      </c>
    </row>
    <row r="690" spans="1:14" ht="48" x14ac:dyDescent="0.25">
      <c r="A690" s="12" t="s">
        <v>1861</v>
      </c>
      <c r="B690" s="8" t="s">
        <v>1862</v>
      </c>
      <c r="C690" s="9">
        <v>8</v>
      </c>
      <c r="D690" s="10">
        <v>1.2</v>
      </c>
      <c r="E690" s="10">
        <v>3.49</v>
      </c>
      <c r="F690" s="9" t="s">
        <v>1863</v>
      </c>
      <c r="G690" s="8" t="s">
        <v>35</v>
      </c>
      <c r="H690" s="12" t="s">
        <v>46</v>
      </c>
      <c r="I690" s="10">
        <v>0.64615384615384608</v>
      </c>
      <c r="J690" s="8" t="s">
        <v>313</v>
      </c>
      <c r="K690" s="8" t="s">
        <v>648</v>
      </c>
      <c r="L690" s="8"/>
      <c r="M690" s="8"/>
      <c r="N690" s="13" t="str">
        <f>HYPERLINK("http://slimages.macys.com/is/image/MCY/16804008 ")</f>
        <v xml:space="preserve">http://slimages.macys.com/is/image/MCY/16804008 </v>
      </c>
    </row>
    <row r="691" spans="1:14" ht="48" x14ac:dyDescent="0.25">
      <c r="A691" s="12" t="s">
        <v>1864</v>
      </c>
      <c r="B691" s="8" t="s">
        <v>1865</v>
      </c>
      <c r="C691" s="9">
        <v>1</v>
      </c>
      <c r="D691" s="10">
        <v>1.2</v>
      </c>
      <c r="E691" s="10">
        <v>3.49</v>
      </c>
      <c r="F691" s="9" t="s">
        <v>1866</v>
      </c>
      <c r="G691" s="8" t="s">
        <v>67</v>
      </c>
      <c r="H691" s="12" t="s">
        <v>46</v>
      </c>
      <c r="I691" s="10">
        <v>0.64615384615384608</v>
      </c>
      <c r="J691" s="8" t="s">
        <v>313</v>
      </c>
      <c r="K691" s="8" t="s">
        <v>648</v>
      </c>
      <c r="L691" s="8" t="s">
        <v>87</v>
      </c>
      <c r="M691" s="8" t="s">
        <v>1176</v>
      </c>
      <c r="N691" s="13" t="str">
        <f>HYPERLINK("http://slimages.macys.com/is/image/MCY/13035694 ")</f>
        <v xml:space="preserve">http://slimages.macys.com/is/image/MCY/13035694 </v>
      </c>
    </row>
    <row r="692" spans="1:14" ht="48" x14ac:dyDescent="0.25">
      <c r="A692" s="12" t="s">
        <v>1867</v>
      </c>
      <c r="B692" s="8" t="s">
        <v>1868</v>
      </c>
      <c r="C692" s="9">
        <v>6</v>
      </c>
      <c r="D692" s="10">
        <v>1.1499999999999999</v>
      </c>
      <c r="E692" s="10">
        <v>3.49</v>
      </c>
      <c r="F692" s="9" t="s">
        <v>1869</v>
      </c>
      <c r="G692" s="8" t="s">
        <v>50</v>
      </c>
      <c r="H692" s="12" t="s">
        <v>46</v>
      </c>
      <c r="I692" s="10">
        <v>0.61923076923076925</v>
      </c>
      <c r="J692" s="8" t="s">
        <v>313</v>
      </c>
      <c r="K692" s="8" t="s">
        <v>648</v>
      </c>
      <c r="L692" s="8"/>
      <c r="M692" s="8"/>
      <c r="N692" s="13" t="str">
        <f>HYPERLINK("http://slimages.macys.com/is/image/MCY/16781186 ")</f>
        <v xml:space="preserve">http://slimages.macys.com/is/image/MCY/16781186 </v>
      </c>
    </row>
    <row r="693" spans="1:14" ht="48" x14ac:dyDescent="0.25">
      <c r="A693" s="12" t="s">
        <v>1870</v>
      </c>
      <c r="B693" s="8" t="s">
        <v>1871</v>
      </c>
      <c r="C693" s="9">
        <v>1</v>
      </c>
      <c r="D693" s="10">
        <v>1.1499999999999999</v>
      </c>
      <c r="E693" s="10">
        <v>3.49</v>
      </c>
      <c r="F693" s="9" t="s">
        <v>1872</v>
      </c>
      <c r="G693" s="8" t="s">
        <v>50</v>
      </c>
      <c r="H693" s="12" t="s">
        <v>46</v>
      </c>
      <c r="I693" s="10">
        <v>0.61923076923076925</v>
      </c>
      <c r="J693" s="8" t="s">
        <v>313</v>
      </c>
      <c r="K693" s="8" t="s">
        <v>648</v>
      </c>
      <c r="L693" s="8" t="s">
        <v>383</v>
      </c>
      <c r="M693" s="8" t="s">
        <v>1873</v>
      </c>
      <c r="N693" s="13" t="str">
        <f>HYPERLINK("http://slimages.macys.com/is/image/MCY/9050248 ")</f>
        <v xml:space="preserve">http://slimages.macys.com/is/image/MCY/9050248 </v>
      </c>
    </row>
    <row r="694" spans="1:14" ht="48" x14ac:dyDescent="0.25">
      <c r="A694" s="12" t="s">
        <v>1874</v>
      </c>
      <c r="B694" s="8" t="s">
        <v>1875</v>
      </c>
      <c r="C694" s="9">
        <v>2</v>
      </c>
      <c r="D694" s="10">
        <v>1.1499999999999999</v>
      </c>
      <c r="E694" s="10">
        <v>3.49</v>
      </c>
      <c r="F694" s="9" t="s">
        <v>1876</v>
      </c>
      <c r="G694" s="8" t="s">
        <v>50</v>
      </c>
      <c r="H694" s="12" t="s">
        <v>46</v>
      </c>
      <c r="I694" s="10">
        <v>0.61923076923076925</v>
      </c>
      <c r="J694" s="8" t="s">
        <v>313</v>
      </c>
      <c r="K694" s="8" t="s">
        <v>648</v>
      </c>
      <c r="L694" s="8" t="s">
        <v>286</v>
      </c>
      <c r="M694" s="8" t="s">
        <v>1877</v>
      </c>
      <c r="N694" s="13" t="str">
        <f>HYPERLINK("http://slimages.macys.com/is/image/MCY/11513148 ")</f>
        <v xml:space="preserve">http://slimages.macys.com/is/image/MCY/11513148 </v>
      </c>
    </row>
    <row r="695" spans="1:14" ht="48" x14ac:dyDescent="0.25">
      <c r="A695" s="12" t="s">
        <v>1878</v>
      </c>
      <c r="B695" s="8" t="s">
        <v>1879</v>
      </c>
      <c r="C695" s="9">
        <v>2</v>
      </c>
      <c r="D695" s="10">
        <v>1.1499999999999999</v>
      </c>
      <c r="E695" s="10">
        <v>3.49</v>
      </c>
      <c r="F695" s="9" t="s">
        <v>1880</v>
      </c>
      <c r="G695" s="8" t="s">
        <v>50</v>
      </c>
      <c r="H695" s="12" t="s">
        <v>46</v>
      </c>
      <c r="I695" s="10">
        <v>0.61923076923076925</v>
      </c>
      <c r="J695" s="8" t="s">
        <v>313</v>
      </c>
      <c r="K695" s="8" t="s">
        <v>648</v>
      </c>
      <c r="L695" s="8" t="s">
        <v>383</v>
      </c>
      <c r="M695" s="8" t="s">
        <v>1873</v>
      </c>
      <c r="N695" s="13" t="str">
        <f>HYPERLINK("http://slimages.macys.com/is/image/MCY/9050249 ")</f>
        <v xml:space="preserve">http://slimages.macys.com/is/image/MCY/9050249 </v>
      </c>
    </row>
    <row r="696" spans="1:14" ht="48" x14ac:dyDescent="0.25">
      <c r="A696" s="12" t="s">
        <v>1881</v>
      </c>
      <c r="B696" s="8" t="s">
        <v>1882</v>
      </c>
      <c r="C696" s="9">
        <v>1</v>
      </c>
      <c r="D696" s="10">
        <v>1.1499999999999999</v>
      </c>
      <c r="E696" s="10">
        <v>3.49</v>
      </c>
      <c r="F696" s="9" t="s">
        <v>1883</v>
      </c>
      <c r="G696" s="8" t="s">
        <v>50</v>
      </c>
      <c r="H696" s="12" t="s">
        <v>46</v>
      </c>
      <c r="I696" s="10">
        <v>0.61923076923076925</v>
      </c>
      <c r="J696" s="8" t="s">
        <v>313</v>
      </c>
      <c r="K696" s="8" t="s">
        <v>648</v>
      </c>
      <c r="L696" s="8" t="s">
        <v>383</v>
      </c>
      <c r="M696" s="8" t="s">
        <v>1873</v>
      </c>
      <c r="N696" s="13" t="str">
        <f>HYPERLINK("http://slimages.macys.com/is/image/MCY/8886247 ")</f>
        <v xml:space="preserve">http://slimages.macys.com/is/image/MCY/8886247 </v>
      </c>
    </row>
    <row r="697" spans="1:14" ht="48" x14ac:dyDescent="0.25">
      <c r="A697" s="12" t="s">
        <v>1874</v>
      </c>
      <c r="B697" s="8" t="s">
        <v>1875</v>
      </c>
      <c r="C697" s="9">
        <v>1</v>
      </c>
      <c r="D697" s="10">
        <v>1.1499999999999999</v>
      </c>
      <c r="E697" s="10">
        <v>3.49</v>
      </c>
      <c r="F697" s="9" t="s">
        <v>1876</v>
      </c>
      <c r="G697" s="8" t="s">
        <v>50</v>
      </c>
      <c r="H697" s="12" t="s">
        <v>46</v>
      </c>
      <c r="I697" s="10">
        <v>0.61923076923076925</v>
      </c>
      <c r="J697" s="8" t="s">
        <v>313</v>
      </c>
      <c r="K697" s="8" t="s">
        <v>648</v>
      </c>
      <c r="L697" s="8" t="s">
        <v>286</v>
      </c>
      <c r="M697" s="8" t="s">
        <v>1877</v>
      </c>
      <c r="N697" s="13" t="str">
        <f>HYPERLINK("http://slimages.macys.com/is/image/MCY/11513148 ")</f>
        <v xml:space="preserve">http://slimages.macys.com/is/image/MCY/11513148 </v>
      </c>
    </row>
    <row r="698" spans="1:14" ht="48" x14ac:dyDescent="0.25">
      <c r="A698" s="12" t="s">
        <v>1884</v>
      </c>
      <c r="B698" s="8" t="s">
        <v>1885</v>
      </c>
      <c r="C698" s="9">
        <v>1</v>
      </c>
      <c r="D698" s="10">
        <v>1.1499999999999999</v>
      </c>
      <c r="E698" s="10">
        <v>3.49</v>
      </c>
      <c r="F698" s="9" t="s">
        <v>1886</v>
      </c>
      <c r="G698" s="8" t="s">
        <v>50</v>
      </c>
      <c r="H698" s="12" t="s">
        <v>46</v>
      </c>
      <c r="I698" s="10">
        <v>0.61923076923076925</v>
      </c>
      <c r="J698" s="8" t="s">
        <v>313</v>
      </c>
      <c r="K698" s="8" t="s">
        <v>648</v>
      </c>
      <c r="L698" s="8" t="s">
        <v>383</v>
      </c>
      <c r="M698" s="8" t="s">
        <v>1873</v>
      </c>
      <c r="N698" s="13" t="str">
        <f>HYPERLINK("http://slimages.macys.com/is/image/MCY/8886242 ")</f>
        <v xml:space="preserve">http://slimages.macys.com/is/image/MCY/8886242 </v>
      </c>
    </row>
    <row r="699" spans="1:14" ht="48" x14ac:dyDescent="0.25">
      <c r="A699" s="12" t="s">
        <v>1887</v>
      </c>
      <c r="B699" s="8" t="s">
        <v>1888</v>
      </c>
      <c r="C699" s="9">
        <v>1</v>
      </c>
      <c r="D699" s="10">
        <v>1.1499999999999999</v>
      </c>
      <c r="E699" s="10">
        <v>3.49</v>
      </c>
      <c r="F699" s="9" t="s">
        <v>1889</v>
      </c>
      <c r="G699" s="8" t="s">
        <v>50</v>
      </c>
      <c r="H699" s="12" t="s">
        <v>46</v>
      </c>
      <c r="I699" s="10">
        <v>0.61923076923076925</v>
      </c>
      <c r="J699" s="8" t="s">
        <v>313</v>
      </c>
      <c r="K699" s="8" t="s">
        <v>648</v>
      </c>
      <c r="L699" s="8" t="s">
        <v>383</v>
      </c>
      <c r="M699" s="8" t="s">
        <v>1873</v>
      </c>
      <c r="N699" s="13" t="str">
        <f>HYPERLINK("http://slimages.macys.com/is/image/MCY/8886244 ")</f>
        <v xml:space="preserve">http://slimages.macys.com/is/image/MCY/8886244 </v>
      </c>
    </row>
    <row r="700" spans="1:14" ht="48" x14ac:dyDescent="0.25">
      <c r="A700" s="12" t="s">
        <v>1878</v>
      </c>
      <c r="B700" s="8" t="s">
        <v>1879</v>
      </c>
      <c r="C700" s="9">
        <v>4</v>
      </c>
      <c r="D700" s="10">
        <v>1.1499999999999999</v>
      </c>
      <c r="E700" s="10">
        <v>3.49</v>
      </c>
      <c r="F700" s="9" t="s">
        <v>1880</v>
      </c>
      <c r="G700" s="8" t="s">
        <v>50</v>
      </c>
      <c r="H700" s="12" t="s">
        <v>46</v>
      </c>
      <c r="I700" s="10">
        <v>0.61923076923076925</v>
      </c>
      <c r="J700" s="8" t="s">
        <v>313</v>
      </c>
      <c r="K700" s="8" t="s">
        <v>648</v>
      </c>
      <c r="L700" s="8" t="s">
        <v>383</v>
      </c>
      <c r="M700" s="8" t="s">
        <v>1873</v>
      </c>
      <c r="N700" s="13" t="str">
        <f>HYPERLINK("http://slimages.macys.com/is/image/MCY/9050249 ")</f>
        <v xml:space="preserve">http://slimages.macys.com/is/image/MCY/9050249 </v>
      </c>
    </row>
    <row r="701" spans="1:14" ht="48" x14ac:dyDescent="0.25">
      <c r="A701" s="12" t="s">
        <v>1867</v>
      </c>
      <c r="B701" s="8" t="s">
        <v>1868</v>
      </c>
      <c r="C701" s="9">
        <v>10</v>
      </c>
      <c r="D701" s="10">
        <v>1.1499999999999999</v>
      </c>
      <c r="E701" s="10">
        <v>3.49</v>
      </c>
      <c r="F701" s="9" t="s">
        <v>1869</v>
      </c>
      <c r="G701" s="8" t="s">
        <v>50</v>
      </c>
      <c r="H701" s="12" t="s">
        <v>46</v>
      </c>
      <c r="I701" s="10">
        <v>0.61923076923076925</v>
      </c>
      <c r="J701" s="8" t="s">
        <v>313</v>
      </c>
      <c r="K701" s="8" t="s">
        <v>648</v>
      </c>
      <c r="L701" s="8"/>
      <c r="M701" s="8"/>
      <c r="N701" s="13" t="str">
        <f>HYPERLINK("http://slimages.macys.com/is/image/MCY/16781186 ")</f>
        <v xml:space="preserve">http://slimages.macys.com/is/image/MCY/16781186 </v>
      </c>
    </row>
    <row r="702" spans="1:14" ht="48" x14ac:dyDescent="0.25">
      <c r="A702" s="12" t="s">
        <v>1890</v>
      </c>
      <c r="B702" s="8" t="s">
        <v>1891</v>
      </c>
      <c r="C702" s="9">
        <v>9</v>
      </c>
      <c r="D702" s="10">
        <v>1.1499999999999999</v>
      </c>
      <c r="E702" s="10">
        <v>3.49</v>
      </c>
      <c r="F702" s="9" t="s">
        <v>1892</v>
      </c>
      <c r="G702" s="8" t="s">
        <v>50</v>
      </c>
      <c r="H702" s="12" t="s">
        <v>46</v>
      </c>
      <c r="I702" s="10">
        <v>0.61923076923076925</v>
      </c>
      <c r="J702" s="8" t="s">
        <v>313</v>
      </c>
      <c r="K702" s="8" t="s">
        <v>648</v>
      </c>
      <c r="L702" s="8" t="s">
        <v>383</v>
      </c>
      <c r="M702" s="8" t="s">
        <v>1873</v>
      </c>
      <c r="N702" s="13" t="str">
        <f>HYPERLINK("http://slimages.macys.com/is/image/MCY/9050246 ")</f>
        <v xml:space="preserve">http://slimages.macys.com/is/image/MCY/9050246 </v>
      </c>
    </row>
    <row r="703" spans="1:14" ht="48" x14ac:dyDescent="0.25">
      <c r="A703" s="12" t="s">
        <v>1878</v>
      </c>
      <c r="B703" s="8" t="s">
        <v>1879</v>
      </c>
      <c r="C703" s="9">
        <v>1</v>
      </c>
      <c r="D703" s="10">
        <v>1.1499999999999999</v>
      </c>
      <c r="E703" s="10">
        <v>3.49</v>
      </c>
      <c r="F703" s="9" t="s">
        <v>1880</v>
      </c>
      <c r="G703" s="8" t="s">
        <v>50</v>
      </c>
      <c r="H703" s="12" t="s">
        <v>46</v>
      </c>
      <c r="I703" s="10">
        <v>0.61923076923076925</v>
      </c>
      <c r="J703" s="8" t="s">
        <v>313</v>
      </c>
      <c r="K703" s="8" t="s">
        <v>648</v>
      </c>
      <c r="L703" s="8" t="s">
        <v>383</v>
      </c>
      <c r="M703" s="8" t="s">
        <v>1873</v>
      </c>
      <c r="N703" s="13" t="str">
        <f>HYPERLINK("http://slimages.macys.com/is/image/MCY/9050249 ")</f>
        <v xml:space="preserve">http://slimages.macys.com/is/image/MCY/9050249 </v>
      </c>
    </row>
    <row r="704" spans="1:14" ht="48" x14ac:dyDescent="0.25">
      <c r="A704" s="12" t="s">
        <v>1890</v>
      </c>
      <c r="B704" s="8" t="s">
        <v>1891</v>
      </c>
      <c r="C704" s="9">
        <v>4</v>
      </c>
      <c r="D704" s="10">
        <v>1.1499999999999999</v>
      </c>
      <c r="E704" s="10">
        <v>3.49</v>
      </c>
      <c r="F704" s="9" t="s">
        <v>1892</v>
      </c>
      <c r="G704" s="8" t="s">
        <v>50</v>
      </c>
      <c r="H704" s="12" t="s">
        <v>46</v>
      </c>
      <c r="I704" s="10">
        <v>0.61923076923076925</v>
      </c>
      <c r="J704" s="8" t="s">
        <v>313</v>
      </c>
      <c r="K704" s="8" t="s">
        <v>648</v>
      </c>
      <c r="L704" s="8" t="s">
        <v>383</v>
      </c>
      <c r="M704" s="8" t="s">
        <v>1873</v>
      </c>
      <c r="N704" s="13" t="str">
        <f>HYPERLINK("http://slimages.macys.com/is/image/MCY/9050246 ")</f>
        <v xml:space="preserve">http://slimages.macys.com/is/image/MCY/9050246 </v>
      </c>
    </row>
    <row r="705" spans="1:14" ht="48" x14ac:dyDescent="0.25">
      <c r="A705" s="12" t="s">
        <v>1890</v>
      </c>
      <c r="B705" s="8" t="s">
        <v>1891</v>
      </c>
      <c r="C705" s="9">
        <v>5</v>
      </c>
      <c r="D705" s="10">
        <v>1.1499999999999999</v>
      </c>
      <c r="E705" s="10">
        <v>3.49</v>
      </c>
      <c r="F705" s="9" t="s">
        <v>1892</v>
      </c>
      <c r="G705" s="8" t="s">
        <v>50</v>
      </c>
      <c r="H705" s="12" t="s">
        <v>46</v>
      </c>
      <c r="I705" s="10">
        <v>0.61923076923076925</v>
      </c>
      <c r="J705" s="8" t="s">
        <v>313</v>
      </c>
      <c r="K705" s="8" t="s">
        <v>648</v>
      </c>
      <c r="L705" s="8" t="s">
        <v>383</v>
      </c>
      <c r="M705" s="8" t="s">
        <v>1873</v>
      </c>
      <c r="N705" s="13" t="str">
        <f>HYPERLINK("http://slimages.macys.com/is/image/MCY/9050246 ")</f>
        <v xml:space="preserve">http://slimages.macys.com/is/image/MCY/9050246 </v>
      </c>
    </row>
    <row r="706" spans="1:14" ht="48" x14ac:dyDescent="0.25">
      <c r="A706" s="12" t="s">
        <v>1867</v>
      </c>
      <c r="B706" s="8" t="s">
        <v>1868</v>
      </c>
      <c r="C706" s="9">
        <v>1</v>
      </c>
      <c r="D706" s="10">
        <v>1.1499999999999999</v>
      </c>
      <c r="E706" s="10">
        <v>3.49</v>
      </c>
      <c r="F706" s="9" t="s">
        <v>1869</v>
      </c>
      <c r="G706" s="8" t="s">
        <v>50</v>
      </c>
      <c r="H706" s="12" t="s">
        <v>46</v>
      </c>
      <c r="I706" s="10">
        <v>0.61923076923076925</v>
      </c>
      <c r="J706" s="8" t="s">
        <v>313</v>
      </c>
      <c r="K706" s="8" t="s">
        <v>648</v>
      </c>
      <c r="L706" s="8"/>
      <c r="M706" s="8"/>
      <c r="N706" s="13" t="str">
        <f>HYPERLINK("http://slimages.macys.com/is/image/MCY/16781186 ")</f>
        <v xml:space="preserve">http://slimages.macys.com/is/image/MCY/16781186 </v>
      </c>
    </row>
    <row r="707" spans="1:14" ht="48" x14ac:dyDescent="0.25">
      <c r="A707" s="12" t="s">
        <v>1867</v>
      </c>
      <c r="B707" s="8" t="s">
        <v>1868</v>
      </c>
      <c r="C707" s="9">
        <v>8</v>
      </c>
      <c r="D707" s="10">
        <v>1.1499999999999999</v>
      </c>
      <c r="E707" s="10">
        <v>3.49</v>
      </c>
      <c r="F707" s="9" t="s">
        <v>1869</v>
      </c>
      <c r="G707" s="8" t="s">
        <v>50</v>
      </c>
      <c r="H707" s="12" t="s">
        <v>46</v>
      </c>
      <c r="I707" s="10">
        <v>0.61923076923076925</v>
      </c>
      <c r="J707" s="8" t="s">
        <v>313</v>
      </c>
      <c r="K707" s="8" t="s">
        <v>648</v>
      </c>
      <c r="L707" s="8"/>
      <c r="M707" s="8"/>
      <c r="N707" s="13" t="str">
        <f>HYPERLINK("http://slimages.macys.com/is/image/MCY/16781186 ")</f>
        <v xml:space="preserve">http://slimages.macys.com/is/image/MCY/16781186 </v>
      </c>
    </row>
    <row r="708" spans="1:14" ht="48" x14ac:dyDescent="0.25">
      <c r="A708" s="12" t="s">
        <v>1867</v>
      </c>
      <c r="B708" s="8" t="s">
        <v>1868</v>
      </c>
      <c r="C708" s="9">
        <v>1</v>
      </c>
      <c r="D708" s="10">
        <v>1.1499999999999999</v>
      </c>
      <c r="E708" s="10">
        <v>3.49</v>
      </c>
      <c r="F708" s="9" t="s">
        <v>1869</v>
      </c>
      <c r="G708" s="8" t="s">
        <v>50</v>
      </c>
      <c r="H708" s="12" t="s">
        <v>46</v>
      </c>
      <c r="I708" s="10">
        <v>0.61923076923076925</v>
      </c>
      <c r="J708" s="8" t="s">
        <v>313</v>
      </c>
      <c r="K708" s="8" t="s">
        <v>648</v>
      </c>
      <c r="L708" s="8"/>
      <c r="M708" s="8"/>
      <c r="N708" s="13" t="str">
        <f>HYPERLINK("http://slimages.macys.com/is/image/MCY/16781186 ")</f>
        <v xml:space="preserve">http://slimages.macys.com/is/image/MCY/16781186 </v>
      </c>
    </row>
    <row r="709" spans="1:14" ht="48" x14ac:dyDescent="0.25">
      <c r="A709" s="12" t="s">
        <v>1893</v>
      </c>
      <c r="B709" s="8" t="s">
        <v>1894</v>
      </c>
      <c r="C709" s="9">
        <v>1</v>
      </c>
      <c r="D709" s="10">
        <v>1.1499999999999999</v>
      </c>
      <c r="E709" s="10">
        <v>3.49</v>
      </c>
      <c r="F709" s="9" t="s">
        <v>1895</v>
      </c>
      <c r="G709" s="8" t="s">
        <v>50</v>
      </c>
      <c r="H709" s="12" t="s">
        <v>46</v>
      </c>
      <c r="I709" s="10">
        <v>0.61923076923076925</v>
      </c>
      <c r="J709" s="8" t="s">
        <v>313</v>
      </c>
      <c r="K709" s="8" t="s">
        <v>648</v>
      </c>
      <c r="L709" s="8"/>
      <c r="M709" s="8"/>
      <c r="N709" s="13" t="str">
        <f>HYPERLINK("http://slimages.macys.com/is/image/MCY/16781184 ")</f>
        <v xml:space="preserve">http://slimages.macys.com/is/image/MCY/16781184 </v>
      </c>
    </row>
    <row r="710" spans="1:14" ht="24" x14ac:dyDescent="0.25">
      <c r="A710" s="12" t="s">
        <v>1896</v>
      </c>
      <c r="B710" s="8" t="s">
        <v>1897</v>
      </c>
      <c r="C710" s="9">
        <v>2</v>
      </c>
      <c r="D710" s="10">
        <v>120</v>
      </c>
      <c r="E710" s="10">
        <v>180</v>
      </c>
      <c r="F710" s="9">
        <v>60048</v>
      </c>
      <c r="G710" s="8" t="s">
        <v>50</v>
      </c>
      <c r="H710" s="12" t="s">
        <v>46</v>
      </c>
      <c r="I710" s="10">
        <v>64.615384615384613</v>
      </c>
      <c r="J710" s="8" t="s">
        <v>254</v>
      </c>
      <c r="K710" s="8" t="s">
        <v>1623</v>
      </c>
      <c r="L710" s="8"/>
      <c r="M710" s="8"/>
      <c r="N710" s="13"/>
    </row>
    <row r="711" spans="1:14" ht="36" x14ac:dyDescent="0.25">
      <c r="A711" s="12" t="s">
        <v>1898</v>
      </c>
      <c r="B711" s="8" t="s">
        <v>1899</v>
      </c>
      <c r="C711" s="9">
        <v>2</v>
      </c>
      <c r="D711" s="10">
        <v>88.48</v>
      </c>
      <c r="E711" s="10">
        <v>147</v>
      </c>
      <c r="F711" s="9">
        <v>602573549889</v>
      </c>
      <c r="G711" s="8"/>
      <c r="H711" s="12" t="s">
        <v>46</v>
      </c>
      <c r="I711" s="10">
        <v>47.643076923076919</v>
      </c>
      <c r="J711" s="8" t="s">
        <v>1215</v>
      </c>
      <c r="K711" s="8" t="s">
        <v>1900</v>
      </c>
      <c r="L711" s="8"/>
      <c r="M711" s="8"/>
      <c r="N711" s="13"/>
    </row>
    <row r="712" spans="1:14" ht="48" x14ac:dyDescent="0.25">
      <c r="A712" s="12" t="s">
        <v>1901</v>
      </c>
      <c r="B712" s="8" t="s">
        <v>1902</v>
      </c>
      <c r="C712" s="9">
        <v>1</v>
      </c>
      <c r="D712" s="10">
        <v>57.5</v>
      </c>
      <c r="E712" s="10">
        <v>115</v>
      </c>
      <c r="F712" s="9">
        <v>5493714</v>
      </c>
      <c r="G712" s="8" t="s">
        <v>50</v>
      </c>
      <c r="H712" s="12" t="s">
        <v>46</v>
      </c>
      <c r="I712" s="10">
        <v>30.96153846153846</v>
      </c>
      <c r="J712" s="8" t="s">
        <v>73</v>
      </c>
      <c r="K712" s="8" t="s">
        <v>282</v>
      </c>
      <c r="L712" s="8"/>
      <c r="M712" s="8"/>
      <c r="N712" s="13"/>
    </row>
    <row r="713" spans="1:14" ht="24" x14ac:dyDescent="0.25">
      <c r="A713" s="12" t="s">
        <v>1903</v>
      </c>
      <c r="B713" s="8" t="s">
        <v>1904</v>
      </c>
      <c r="C713" s="9">
        <v>1</v>
      </c>
      <c r="D713" s="10">
        <v>56.31</v>
      </c>
      <c r="E713" s="10">
        <v>86</v>
      </c>
      <c r="F713" s="9">
        <v>3232870182907</v>
      </c>
      <c r="G713" s="8"/>
      <c r="H713" s="12" t="s">
        <v>46</v>
      </c>
      <c r="I713" s="10">
        <v>30.32076923076923</v>
      </c>
      <c r="J713" s="8" t="s">
        <v>262</v>
      </c>
      <c r="K713" s="8" t="s">
        <v>1905</v>
      </c>
      <c r="L713" s="8"/>
      <c r="M713" s="8"/>
      <c r="N713" s="13"/>
    </row>
    <row r="714" spans="1:14" ht="60" x14ac:dyDescent="0.25">
      <c r="A714" s="12" t="s">
        <v>1906</v>
      </c>
      <c r="B714" s="8" t="s">
        <v>1907</v>
      </c>
      <c r="C714" s="9">
        <v>1</v>
      </c>
      <c r="D714" s="10">
        <v>38.33</v>
      </c>
      <c r="E714" s="10">
        <v>23.11</v>
      </c>
      <c r="F714" s="9">
        <v>10009101400</v>
      </c>
      <c r="G714" s="8" t="s">
        <v>50</v>
      </c>
      <c r="H714" s="12" t="s">
        <v>46</v>
      </c>
      <c r="I714" s="10">
        <v>20.639230769230767</v>
      </c>
      <c r="J714" s="8" t="s">
        <v>202</v>
      </c>
      <c r="K714" s="8" t="s">
        <v>203</v>
      </c>
      <c r="L714" s="8"/>
      <c r="M714" s="8"/>
      <c r="N714" s="13"/>
    </row>
    <row r="715" spans="1:14" ht="36" x14ac:dyDescent="0.25">
      <c r="A715" s="12" t="s">
        <v>1908</v>
      </c>
      <c r="B715" s="8" t="s">
        <v>1909</v>
      </c>
      <c r="C715" s="9">
        <v>1</v>
      </c>
      <c r="D715" s="10">
        <v>33.35</v>
      </c>
      <c r="E715" s="10">
        <v>50</v>
      </c>
      <c r="F715" s="9">
        <v>885991178996</v>
      </c>
      <c r="G715" s="8" t="s">
        <v>50</v>
      </c>
      <c r="H715" s="12" t="s">
        <v>46</v>
      </c>
      <c r="I715" s="10">
        <v>17.957692307692305</v>
      </c>
      <c r="J715" s="8" t="s">
        <v>138</v>
      </c>
      <c r="K715" s="8" t="s">
        <v>139</v>
      </c>
      <c r="L715" s="8"/>
      <c r="M715" s="8"/>
      <c r="N715" s="13"/>
    </row>
    <row r="716" spans="1:14" ht="48" x14ac:dyDescent="0.25">
      <c r="A716" s="12" t="s">
        <v>1910</v>
      </c>
      <c r="B716" s="8" t="s">
        <v>1911</v>
      </c>
      <c r="C716" s="9">
        <v>1</v>
      </c>
      <c r="D716" s="10">
        <v>30.74</v>
      </c>
      <c r="E716" s="10">
        <v>61.48</v>
      </c>
      <c r="F716" s="9">
        <v>8821</v>
      </c>
      <c r="G716" s="8" t="s">
        <v>137</v>
      </c>
      <c r="H716" s="12"/>
      <c r="I716" s="10">
        <v>16.552307692307693</v>
      </c>
      <c r="J716" s="8" t="s">
        <v>138</v>
      </c>
      <c r="K716" s="8" t="s">
        <v>1912</v>
      </c>
      <c r="L716" s="8"/>
      <c r="M716" s="8"/>
      <c r="N716" s="13"/>
    </row>
    <row r="717" spans="1:14" ht="24" x14ac:dyDescent="0.25">
      <c r="A717" s="12" t="s">
        <v>1913</v>
      </c>
      <c r="B717" s="8" t="s">
        <v>1914</v>
      </c>
      <c r="C717" s="9">
        <v>1</v>
      </c>
      <c r="D717" s="10">
        <v>22.8</v>
      </c>
      <c r="E717" s="10">
        <v>75</v>
      </c>
      <c r="F717" s="9" t="s">
        <v>1915</v>
      </c>
      <c r="G717" s="8" t="s">
        <v>1231</v>
      </c>
      <c r="H717" s="12"/>
      <c r="I717" s="10">
        <v>12.276923076923078</v>
      </c>
      <c r="J717" s="8" t="s">
        <v>209</v>
      </c>
      <c r="K717" s="8" t="s">
        <v>210</v>
      </c>
      <c r="L717" s="8"/>
      <c r="M717" s="8"/>
      <c r="N717" s="13"/>
    </row>
    <row r="718" spans="1:14" ht="48" x14ac:dyDescent="0.25">
      <c r="A718" s="12" t="s">
        <v>1916</v>
      </c>
      <c r="B718" s="8" t="s">
        <v>1917</v>
      </c>
      <c r="C718" s="9">
        <v>2</v>
      </c>
      <c r="D718" s="10">
        <v>18.96</v>
      </c>
      <c r="E718" s="10">
        <v>28</v>
      </c>
      <c r="F718" s="9">
        <v>4001836023719</v>
      </c>
      <c r="G718" s="8"/>
      <c r="H718" s="12" t="s">
        <v>46</v>
      </c>
      <c r="I718" s="10">
        <v>10.20923076923077</v>
      </c>
      <c r="J718" s="8" t="s">
        <v>262</v>
      </c>
      <c r="K718" s="8" t="s">
        <v>1918</v>
      </c>
      <c r="L718" s="8"/>
      <c r="M718" s="8"/>
      <c r="N718" s="13"/>
    </row>
    <row r="719" spans="1:14" ht="24" x14ac:dyDescent="0.25">
      <c r="A719" s="12" t="s">
        <v>1919</v>
      </c>
      <c r="B719" s="8" t="s">
        <v>1920</v>
      </c>
      <c r="C719" s="9">
        <v>1</v>
      </c>
      <c r="D719" s="10">
        <v>15</v>
      </c>
      <c r="E719" s="10">
        <v>29.99</v>
      </c>
      <c r="F719" s="9" t="s">
        <v>1921</v>
      </c>
      <c r="G719" s="8" t="s">
        <v>153</v>
      </c>
      <c r="H719" s="12"/>
      <c r="I719" s="10">
        <v>8.0769230769230766</v>
      </c>
      <c r="J719" s="8" t="s">
        <v>29</v>
      </c>
      <c r="K719" s="8" t="s">
        <v>154</v>
      </c>
      <c r="L719" s="8"/>
      <c r="M719" s="8"/>
      <c r="N719" s="13"/>
    </row>
    <row r="720" spans="1:14" ht="24" x14ac:dyDescent="0.25">
      <c r="A720" s="12" t="s">
        <v>1922</v>
      </c>
      <c r="B720" s="8" t="s">
        <v>1923</v>
      </c>
      <c r="C720" s="9">
        <v>2</v>
      </c>
      <c r="D720" s="10">
        <v>13.3</v>
      </c>
      <c r="E720" s="10">
        <v>44</v>
      </c>
      <c r="F720" s="9" t="s">
        <v>1924</v>
      </c>
      <c r="G720" s="8" t="s">
        <v>1925</v>
      </c>
      <c r="H720" s="12"/>
      <c r="I720" s="10">
        <v>7.1615384615384619</v>
      </c>
      <c r="J720" s="8" t="s">
        <v>209</v>
      </c>
      <c r="K720" s="8" t="s">
        <v>210</v>
      </c>
      <c r="L720" s="8"/>
      <c r="M720" s="8"/>
      <c r="N720" s="13"/>
    </row>
    <row r="721" spans="1:14" ht="60" x14ac:dyDescent="0.25">
      <c r="A721" s="12" t="s">
        <v>1926</v>
      </c>
      <c r="B721" s="8" t="s">
        <v>1927</v>
      </c>
      <c r="C721" s="9">
        <v>2</v>
      </c>
      <c r="D721" s="10">
        <v>12.58</v>
      </c>
      <c r="E721" s="10">
        <v>23.11</v>
      </c>
      <c r="F721" s="9">
        <v>10007495000</v>
      </c>
      <c r="G721" s="8" t="s">
        <v>50</v>
      </c>
      <c r="H721" s="12" t="s">
        <v>46</v>
      </c>
      <c r="I721" s="10">
        <v>6.7738461538461534</v>
      </c>
      <c r="J721" s="8" t="s">
        <v>202</v>
      </c>
      <c r="K721" s="8" t="s">
        <v>203</v>
      </c>
      <c r="L721" s="8"/>
      <c r="M721" s="8"/>
      <c r="N721" s="13"/>
    </row>
    <row r="722" spans="1:14" ht="48" x14ac:dyDescent="0.25">
      <c r="A722" s="12" t="s">
        <v>1928</v>
      </c>
      <c r="B722" s="8" t="s">
        <v>1929</v>
      </c>
      <c r="C722" s="9">
        <v>1</v>
      </c>
      <c r="D722" s="10">
        <v>12.47</v>
      </c>
      <c r="E722" s="10">
        <v>24.99</v>
      </c>
      <c r="F722" s="9" t="s">
        <v>1930</v>
      </c>
      <c r="G722" s="8" t="s">
        <v>50</v>
      </c>
      <c r="H722" s="12" t="s">
        <v>46</v>
      </c>
      <c r="I722" s="10">
        <v>6.7146153846153842</v>
      </c>
      <c r="J722" s="8" t="s">
        <v>95</v>
      </c>
      <c r="K722" s="8" t="s">
        <v>1931</v>
      </c>
      <c r="L722" s="8"/>
      <c r="M722" s="8"/>
      <c r="N722" s="13"/>
    </row>
    <row r="723" spans="1:14" ht="48" x14ac:dyDescent="0.25">
      <c r="A723" s="12" t="s">
        <v>1932</v>
      </c>
      <c r="B723" s="8" t="s">
        <v>1933</v>
      </c>
      <c r="C723" s="9">
        <v>1</v>
      </c>
      <c r="D723" s="10">
        <v>12</v>
      </c>
      <c r="E723" s="10">
        <v>25</v>
      </c>
      <c r="F723" s="9" t="s">
        <v>1934</v>
      </c>
      <c r="G723" s="8" t="s">
        <v>50</v>
      </c>
      <c r="H723" s="12"/>
      <c r="I723" s="10">
        <v>6.4615384615384617</v>
      </c>
      <c r="J723" s="8" t="s">
        <v>73</v>
      </c>
      <c r="K723" s="8" t="s">
        <v>726</v>
      </c>
      <c r="L723" s="8"/>
      <c r="M723" s="8"/>
      <c r="N723" s="13"/>
    </row>
    <row r="724" spans="1:14" ht="48" x14ac:dyDescent="0.25">
      <c r="A724" s="12" t="s">
        <v>1935</v>
      </c>
      <c r="B724" s="8" t="s">
        <v>1936</v>
      </c>
      <c r="C724" s="9">
        <v>20</v>
      </c>
      <c r="D724" s="10">
        <v>11.52</v>
      </c>
      <c r="E724" s="10">
        <v>24</v>
      </c>
      <c r="F724" s="9" t="s">
        <v>1937</v>
      </c>
      <c r="G724" s="8" t="s">
        <v>50</v>
      </c>
      <c r="H724" s="12" t="s">
        <v>327</v>
      </c>
      <c r="I724" s="10">
        <v>6.2030769230769227</v>
      </c>
      <c r="J724" s="8" t="s">
        <v>73</v>
      </c>
      <c r="K724" s="8" t="s">
        <v>726</v>
      </c>
      <c r="L724" s="8"/>
      <c r="M724" s="8"/>
      <c r="N724" s="13"/>
    </row>
    <row r="725" spans="1:14" ht="24" x14ac:dyDescent="0.25">
      <c r="A725" s="12" t="s">
        <v>1938</v>
      </c>
      <c r="B725" s="8" t="s">
        <v>1939</v>
      </c>
      <c r="C725" s="9">
        <v>1</v>
      </c>
      <c r="D725" s="10">
        <v>11.47</v>
      </c>
      <c r="E725" s="10">
        <v>23.11</v>
      </c>
      <c r="F725" s="9">
        <v>3232870074660</v>
      </c>
      <c r="G725" s="8" t="s">
        <v>50</v>
      </c>
      <c r="H725" s="12" t="s">
        <v>46</v>
      </c>
      <c r="I725" s="10">
        <v>6.1761538461538459</v>
      </c>
      <c r="J725" s="8" t="s">
        <v>262</v>
      </c>
      <c r="K725" s="8" t="s">
        <v>1905</v>
      </c>
      <c r="L725" s="8"/>
      <c r="M725" s="8"/>
      <c r="N725" s="13"/>
    </row>
    <row r="726" spans="1:14" ht="36" x14ac:dyDescent="0.25">
      <c r="A726" s="12" t="s">
        <v>1940</v>
      </c>
      <c r="B726" s="8" t="s">
        <v>1941</v>
      </c>
      <c r="C726" s="9">
        <v>13</v>
      </c>
      <c r="D726" s="10">
        <v>10.85</v>
      </c>
      <c r="E726" s="10">
        <v>21.7</v>
      </c>
      <c r="F726" s="9">
        <v>63520040</v>
      </c>
      <c r="G726" s="8" t="s">
        <v>168</v>
      </c>
      <c r="H726" s="12" t="s">
        <v>266</v>
      </c>
      <c r="I726" s="10">
        <v>5.842307692307692</v>
      </c>
      <c r="J726" s="8" t="s">
        <v>138</v>
      </c>
      <c r="K726" s="8" t="s">
        <v>512</v>
      </c>
      <c r="L726" s="8"/>
      <c r="M726" s="8"/>
      <c r="N726" s="13"/>
    </row>
    <row r="727" spans="1:14" ht="36" x14ac:dyDescent="0.25">
      <c r="A727" s="12" t="s">
        <v>1942</v>
      </c>
      <c r="B727" s="8" t="s">
        <v>1943</v>
      </c>
      <c r="C727" s="9">
        <v>4</v>
      </c>
      <c r="D727" s="10">
        <v>10.5</v>
      </c>
      <c r="E727" s="10">
        <v>23</v>
      </c>
      <c r="F727" s="9" t="s">
        <v>1944</v>
      </c>
      <c r="G727" s="8"/>
      <c r="H727" s="12" t="s">
        <v>46</v>
      </c>
      <c r="I727" s="10">
        <v>5.6538461538461533</v>
      </c>
      <c r="J727" s="8" t="s">
        <v>1945</v>
      </c>
      <c r="K727" s="8" t="s">
        <v>1946</v>
      </c>
      <c r="L727" s="8"/>
      <c r="M727" s="8"/>
      <c r="N727" s="13"/>
    </row>
    <row r="728" spans="1:14" ht="36" x14ac:dyDescent="0.25">
      <c r="A728" s="12" t="s">
        <v>1947</v>
      </c>
      <c r="B728" s="8" t="s">
        <v>1909</v>
      </c>
      <c r="C728" s="9">
        <v>1</v>
      </c>
      <c r="D728" s="10">
        <v>10.01</v>
      </c>
      <c r="E728" s="10">
        <v>15</v>
      </c>
      <c r="F728" s="9">
        <v>885991074731</v>
      </c>
      <c r="G728" s="8" t="s">
        <v>50</v>
      </c>
      <c r="H728" s="12" t="s">
        <v>46</v>
      </c>
      <c r="I728" s="10">
        <v>5.39</v>
      </c>
      <c r="J728" s="8" t="s">
        <v>138</v>
      </c>
      <c r="K728" s="8" t="s">
        <v>139</v>
      </c>
      <c r="L728" s="8"/>
      <c r="M728" s="8"/>
      <c r="N728" s="13"/>
    </row>
    <row r="729" spans="1:14" ht="48" x14ac:dyDescent="0.25">
      <c r="A729" s="12" t="s">
        <v>1948</v>
      </c>
      <c r="B729" s="8" t="s">
        <v>1949</v>
      </c>
      <c r="C729" s="9">
        <v>17</v>
      </c>
      <c r="D729" s="10">
        <v>9.6</v>
      </c>
      <c r="E729" s="10">
        <v>20</v>
      </c>
      <c r="F729" s="9" t="s">
        <v>1950</v>
      </c>
      <c r="G729" s="8" t="s">
        <v>50</v>
      </c>
      <c r="H729" s="12" t="s">
        <v>433</v>
      </c>
      <c r="I729" s="10">
        <v>5.1692307692307686</v>
      </c>
      <c r="J729" s="8" t="s">
        <v>73</v>
      </c>
      <c r="K729" s="8" t="s">
        <v>726</v>
      </c>
      <c r="L729" s="8"/>
      <c r="M729" s="8"/>
      <c r="N729" s="13"/>
    </row>
    <row r="730" spans="1:14" ht="36" x14ac:dyDescent="0.25">
      <c r="A730" s="12" t="s">
        <v>1951</v>
      </c>
      <c r="B730" s="8" t="s">
        <v>1952</v>
      </c>
      <c r="C730" s="9">
        <v>5</v>
      </c>
      <c r="D730" s="10">
        <v>9.5</v>
      </c>
      <c r="E730" s="10">
        <v>20</v>
      </c>
      <c r="F730" s="9" t="s">
        <v>1953</v>
      </c>
      <c r="G730" s="8" t="s">
        <v>773</v>
      </c>
      <c r="H730" s="12" t="s">
        <v>46</v>
      </c>
      <c r="I730" s="10">
        <v>5.1153846153846159</v>
      </c>
      <c r="J730" s="8" t="s">
        <v>1945</v>
      </c>
      <c r="K730" s="8" t="s">
        <v>1946</v>
      </c>
      <c r="L730" s="8"/>
      <c r="M730" s="8"/>
      <c r="N730" s="13"/>
    </row>
    <row r="731" spans="1:14" ht="36" x14ac:dyDescent="0.25">
      <c r="A731" s="12" t="s">
        <v>1954</v>
      </c>
      <c r="B731" s="8" t="s">
        <v>1955</v>
      </c>
      <c r="C731" s="9">
        <v>1</v>
      </c>
      <c r="D731" s="10">
        <v>8.75</v>
      </c>
      <c r="E731" s="10">
        <v>17.5</v>
      </c>
      <c r="F731" s="9">
        <v>1136293553</v>
      </c>
      <c r="G731" s="8" t="s">
        <v>50</v>
      </c>
      <c r="H731" s="12"/>
      <c r="I731" s="10">
        <v>4.7115384615384617</v>
      </c>
      <c r="J731" s="8" t="s">
        <v>262</v>
      </c>
      <c r="K731" s="8" t="s">
        <v>512</v>
      </c>
      <c r="L731" s="8"/>
      <c r="M731" s="8"/>
      <c r="N731" s="13"/>
    </row>
    <row r="732" spans="1:14" ht="36" x14ac:dyDescent="0.25">
      <c r="A732" s="12" t="s">
        <v>1956</v>
      </c>
      <c r="B732" s="8" t="s">
        <v>1909</v>
      </c>
      <c r="C732" s="9">
        <v>3</v>
      </c>
      <c r="D732" s="10">
        <v>8.67</v>
      </c>
      <c r="E732" s="10">
        <v>12.99</v>
      </c>
      <c r="F732" s="9">
        <v>885991178828</v>
      </c>
      <c r="G732" s="8" t="s">
        <v>50</v>
      </c>
      <c r="H732" s="12" t="s">
        <v>46</v>
      </c>
      <c r="I732" s="10">
        <v>4.6684615384615382</v>
      </c>
      <c r="J732" s="8" t="s">
        <v>138</v>
      </c>
      <c r="K732" s="8" t="s">
        <v>139</v>
      </c>
      <c r="L732" s="8"/>
      <c r="M732" s="8"/>
      <c r="N732" s="13"/>
    </row>
    <row r="733" spans="1:14" ht="48" x14ac:dyDescent="0.25">
      <c r="A733" s="12" t="s">
        <v>1957</v>
      </c>
      <c r="B733" s="8" t="s">
        <v>1958</v>
      </c>
      <c r="C733" s="9">
        <v>31</v>
      </c>
      <c r="D733" s="10">
        <v>8.64</v>
      </c>
      <c r="E733" s="10">
        <v>18</v>
      </c>
      <c r="F733" s="9" t="s">
        <v>1959</v>
      </c>
      <c r="G733" s="8" t="s">
        <v>50</v>
      </c>
      <c r="H733" s="12"/>
      <c r="I733" s="10">
        <v>4.6523076923076925</v>
      </c>
      <c r="J733" s="8" t="s">
        <v>73</v>
      </c>
      <c r="K733" s="8" t="s">
        <v>726</v>
      </c>
      <c r="L733" s="8"/>
      <c r="M733" s="8"/>
      <c r="N733" s="13"/>
    </row>
    <row r="734" spans="1:14" ht="48" x14ac:dyDescent="0.25">
      <c r="A734" s="12" t="s">
        <v>1960</v>
      </c>
      <c r="B734" s="8" t="s">
        <v>1961</v>
      </c>
      <c r="C734" s="9">
        <v>18</v>
      </c>
      <c r="D734" s="10">
        <v>6.72</v>
      </c>
      <c r="E734" s="10">
        <v>14</v>
      </c>
      <c r="F734" s="9" t="s">
        <v>1962</v>
      </c>
      <c r="G734" s="8" t="s">
        <v>50</v>
      </c>
      <c r="H734" s="12"/>
      <c r="I734" s="10">
        <v>3.618461538461538</v>
      </c>
      <c r="J734" s="8" t="s">
        <v>73</v>
      </c>
      <c r="K734" s="8" t="s">
        <v>726</v>
      </c>
      <c r="L734" s="8"/>
      <c r="M734" s="8"/>
      <c r="N734" s="13"/>
    </row>
    <row r="735" spans="1:14" ht="36" x14ac:dyDescent="0.25">
      <c r="A735" s="12" t="s">
        <v>1963</v>
      </c>
      <c r="B735" s="8" t="s">
        <v>1964</v>
      </c>
      <c r="C735" s="9">
        <v>1</v>
      </c>
      <c r="D735" s="10">
        <v>6.3</v>
      </c>
      <c r="E735" s="10">
        <v>14</v>
      </c>
      <c r="F735" s="9">
        <v>11170</v>
      </c>
      <c r="G735" s="8" t="s">
        <v>50</v>
      </c>
      <c r="H735" s="12"/>
      <c r="I735" s="10">
        <v>3.3923076923076922</v>
      </c>
      <c r="J735" s="8" t="s">
        <v>138</v>
      </c>
      <c r="K735" s="8" t="s">
        <v>1965</v>
      </c>
      <c r="L735" s="8"/>
      <c r="M735" s="8"/>
      <c r="N735" s="13"/>
    </row>
    <row r="736" spans="1:14" ht="60" x14ac:dyDescent="0.25">
      <c r="A736" s="12" t="s">
        <v>1966</v>
      </c>
      <c r="B736" s="8" t="s">
        <v>1967</v>
      </c>
      <c r="C736" s="9">
        <v>1</v>
      </c>
      <c r="D736" s="10">
        <v>6.02</v>
      </c>
      <c r="E736" s="10">
        <v>17.5</v>
      </c>
      <c r="F736" s="9">
        <v>100066</v>
      </c>
      <c r="G736" s="8" t="s">
        <v>50</v>
      </c>
      <c r="H736" s="12" t="s">
        <v>46</v>
      </c>
      <c r="I736" s="10">
        <v>3.2415384615384619</v>
      </c>
      <c r="J736" s="8" t="s">
        <v>1945</v>
      </c>
      <c r="K736" s="8" t="s">
        <v>1968</v>
      </c>
      <c r="L736" s="8"/>
      <c r="M736" s="8"/>
      <c r="N736" s="13"/>
    </row>
    <row r="737" spans="1:14" ht="60" x14ac:dyDescent="0.25">
      <c r="A737" s="12" t="s">
        <v>1969</v>
      </c>
      <c r="B737" s="8" t="s">
        <v>1970</v>
      </c>
      <c r="C737" s="9">
        <v>1</v>
      </c>
      <c r="D737" s="10">
        <v>5.34</v>
      </c>
      <c r="E737" s="10">
        <v>30.99</v>
      </c>
      <c r="F737" s="9">
        <v>7788</v>
      </c>
      <c r="G737" s="8" t="s">
        <v>153</v>
      </c>
      <c r="H737" s="12" t="s">
        <v>46</v>
      </c>
      <c r="I737" s="10">
        <v>2.8753846153846152</v>
      </c>
      <c r="J737" s="8" t="s">
        <v>262</v>
      </c>
      <c r="K737" s="8" t="s">
        <v>1971</v>
      </c>
      <c r="L737" s="8"/>
      <c r="M737" s="8"/>
      <c r="N737" s="13"/>
    </row>
    <row r="738" spans="1:14" ht="24" x14ac:dyDescent="0.25">
      <c r="A738" s="12" t="s">
        <v>1972</v>
      </c>
      <c r="B738" s="8" t="s">
        <v>1973</v>
      </c>
      <c r="C738" s="9">
        <v>2</v>
      </c>
      <c r="D738" s="10">
        <v>3.13</v>
      </c>
      <c r="E738" s="10">
        <v>6.25</v>
      </c>
      <c r="F738" s="9" t="s">
        <v>1974</v>
      </c>
      <c r="G738" s="8" t="s">
        <v>50</v>
      </c>
      <c r="H738" s="12" t="s">
        <v>46</v>
      </c>
      <c r="I738" s="10">
        <v>1.6853846153846153</v>
      </c>
      <c r="J738" s="8" t="s">
        <v>254</v>
      </c>
      <c r="K738" s="8" t="s">
        <v>68</v>
      </c>
      <c r="L738" s="8"/>
      <c r="M738" s="8"/>
      <c r="N738" s="13"/>
    </row>
    <row r="739" spans="1:14" ht="24" x14ac:dyDescent="0.25">
      <c r="A739" s="12" t="s">
        <v>1972</v>
      </c>
      <c r="B739" s="8" t="s">
        <v>1973</v>
      </c>
      <c r="C739" s="9">
        <v>1</v>
      </c>
      <c r="D739" s="10">
        <v>3.13</v>
      </c>
      <c r="E739" s="10">
        <v>6.25</v>
      </c>
      <c r="F739" s="9" t="s">
        <v>1974</v>
      </c>
      <c r="G739" s="8" t="s">
        <v>50</v>
      </c>
      <c r="H739" s="12" t="s">
        <v>46</v>
      </c>
      <c r="I739" s="10">
        <v>1.6853846153846153</v>
      </c>
      <c r="J739" s="8" t="s">
        <v>254</v>
      </c>
      <c r="K739" s="8" t="s">
        <v>68</v>
      </c>
      <c r="L739" s="8"/>
      <c r="M739" s="8"/>
      <c r="N739" s="13"/>
    </row>
    <row r="740" spans="1:14" ht="36" x14ac:dyDescent="0.25">
      <c r="A740" s="12" t="s">
        <v>1975</v>
      </c>
      <c r="B740" s="8" t="s">
        <v>1976</v>
      </c>
      <c r="C740" s="9">
        <v>12</v>
      </c>
      <c r="D740" s="10">
        <v>1.2</v>
      </c>
      <c r="E740" s="10">
        <v>2.4</v>
      </c>
      <c r="F740" s="9">
        <v>63520150</v>
      </c>
      <c r="G740" s="8" t="s">
        <v>50</v>
      </c>
      <c r="H740" s="12" t="s">
        <v>1977</v>
      </c>
      <c r="I740" s="10">
        <v>0.64615384615384608</v>
      </c>
      <c r="J740" s="8" t="s">
        <v>138</v>
      </c>
      <c r="K740" s="8" t="s">
        <v>512</v>
      </c>
      <c r="L740" s="8"/>
      <c r="M740" s="8"/>
      <c r="N740" s="13"/>
    </row>
  </sheetData>
  <pageMargins left="0.5" right="0.5" top="0.25" bottom="0.25" header="0.3" footer="0.3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14558378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Dators</cp:lastModifiedBy>
  <dcterms:created xsi:type="dcterms:W3CDTF">2023-03-21T17:03:18Z</dcterms:created>
  <dcterms:modified xsi:type="dcterms:W3CDTF">2023-03-22T09:33:26Z</dcterms:modified>
</cp:coreProperties>
</file>